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defaultThemeVersion="166925"/>
  <mc:AlternateContent xmlns:mc="http://schemas.openxmlformats.org/markup-compatibility/2006">
    <mc:Choice Requires="x15">
      <x15ac:absPath xmlns:x15ac="http://schemas.microsoft.com/office/spreadsheetml/2010/11/ac" url="D:\ENTRAIN lokal\"/>
    </mc:Choice>
  </mc:AlternateContent>
  <xr:revisionPtr revIDLastSave="0" documentId="13_ncr:1_{687DDDF0-5D9B-4B58-8E6D-2224290BA211}" xr6:coauthVersionLast="46" xr6:coauthVersionMax="46" xr10:uidLastSave="{00000000-0000-0000-0000-000000000000}"/>
  <bookViews>
    <workbookView xWindow="20370" yWindow="-120" windowWidth="25440" windowHeight="15540" tabRatio="683" activeTab="1" xr2:uid="{9670780F-3423-457B-B629-0648EB142BB7}"/>
  </bookViews>
  <sheets>
    <sheet name="README" sheetId="7" r:id="rId1"/>
    <sheet name="Explanatory notes" sheetId="6" r:id="rId2"/>
    <sheet name="Boundary conditions" sheetId="9" r:id="rId3"/>
    <sheet name="Heating system" sheetId="2" r:id="rId4"/>
    <sheet name="DH system" sheetId="10" r:id="rId5"/>
    <sheet name="Reference systems" sheetId="8" r:id="rId6"/>
    <sheet name="Results" sheetId="1" r:id="rId7"/>
    <sheet name="HelpSheet" sheetId="5" state="hidden" r:id="rId8"/>
  </sheets>
  <definedNames>
    <definedName name="_xlnm.Print_Area" localSheetId="6">Results!$A$1:$N$54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7" i="8" l="1"/>
  <c r="A58" i="5"/>
  <c r="H20" i="2" l="1"/>
  <c r="L11" i="8" l="1"/>
  <c r="L5" i="1"/>
  <c r="M5" i="1"/>
  <c r="N5" i="1"/>
  <c r="K5" i="1"/>
  <c r="I5" i="1"/>
  <c r="J5" i="1"/>
  <c r="H5" i="1"/>
  <c r="G5" i="1"/>
  <c r="F5" i="1"/>
  <c r="E5" i="1"/>
  <c r="D40" i="8" l="1"/>
  <c r="E40" i="8"/>
  <c r="F40" i="8"/>
  <c r="G40" i="8"/>
  <c r="H40" i="8"/>
  <c r="I40" i="8"/>
  <c r="J40" i="8"/>
  <c r="K40" i="8"/>
  <c r="L40" i="8"/>
  <c r="C30" i="5"/>
  <c r="F34" i="5"/>
  <c r="D34" i="10"/>
  <c r="D11" i="2"/>
  <c r="F33" i="5"/>
  <c r="C26" i="5" l="1"/>
  <c r="M58" i="5" l="1"/>
  <c r="M63" i="5"/>
  <c r="M66" i="5" s="1"/>
  <c r="M70" i="5" s="1"/>
  <c r="M64" i="5"/>
  <c r="M72" i="5" s="1"/>
  <c r="E63" i="5" l="1"/>
  <c r="E66" i="5" l="1"/>
  <c r="E70" i="5" s="1"/>
  <c r="E64" i="5"/>
  <c r="H19" i="2" l="1"/>
  <c r="L58" i="5" l="1"/>
  <c r="L63" i="5"/>
  <c r="L64" i="5" s="1"/>
  <c r="L66" i="5" l="1"/>
  <c r="L70" i="5" s="1"/>
  <c r="N4" i="5"/>
  <c r="I33" i="8"/>
  <c r="J33" i="8"/>
  <c r="K33" i="8"/>
  <c r="K32" i="8" l="1"/>
  <c r="L59" i="5"/>
  <c r="C31" i="5"/>
  <c r="L60" i="5" l="1"/>
  <c r="L71" i="5" s="1"/>
  <c r="K34" i="8"/>
  <c r="L62" i="5" s="1"/>
  <c r="H18" i="2"/>
  <c r="J32" i="8"/>
  <c r="J34" i="8" s="1"/>
  <c r="I32" i="8"/>
  <c r="I34" i="8" s="1"/>
  <c r="C40" i="8"/>
  <c r="D9" i="9" l="1"/>
  <c r="D15" i="9"/>
  <c r="D21" i="9"/>
  <c r="D27" i="9"/>
  <c r="D33" i="9"/>
  <c r="D39" i="9"/>
  <c r="C63" i="5" l="1"/>
  <c r="C66" i="5" s="1"/>
  <c r="C70" i="5" s="1"/>
  <c r="D63" i="5"/>
  <c r="C58" i="5"/>
  <c r="D58" i="5"/>
  <c r="E58" i="5"/>
  <c r="F58" i="5"/>
  <c r="G58" i="5"/>
  <c r="H58" i="5"/>
  <c r="I58" i="5"/>
  <c r="J58" i="5"/>
  <c r="K58" i="5"/>
  <c r="B58" i="5"/>
  <c r="K63" i="5"/>
  <c r="K62" i="5"/>
  <c r="D64" i="5" l="1"/>
  <c r="D66" i="5"/>
  <c r="D70" i="5" s="1"/>
  <c r="K64" i="5"/>
  <c r="K66" i="5"/>
  <c r="K70" i="5" s="1"/>
  <c r="C64" i="5"/>
  <c r="J62" i="5"/>
  <c r="C62" i="5"/>
  <c r="F4" i="5"/>
  <c r="G4" i="5"/>
  <c r="H4" i="5"/>
  <c r="E4" i="5"/>
  <c r="F24" i="5" s="1"/>
  <c r="K4" i="5"/>
  <c r="L4" i="5"/>
  <c r="M4" i="5"/>
  <c r="J4" i="5"/>
  <c r="F30" i="5" s="1"/>
  <c r="I6" i="5"/>
  <c r="I7" i="5"/>
  <c r="I8" i="5"/>
  <c r="I9" i="5"/>
  <c r="I10" i="5"/>
  <c r="I11" i="5"/>
  <c r="I12" i="5"/>
  <c r="I13" i="5"/>
  <c r="I14" i="5"/>
  <c r="I15" i="5"/>
  <c r="I16" i="5"/>
  <c r="I17" i="5"/>
  <c r="I18" i="5"/>
  <c r="I19" i="5"/>
  <c r="I20" i="5"/>
  <c r="I5" i="5"/>
  <c r="C85" i="5" l="1"/>
  <c r="C88" i="5"/>
  <c r="C87" i="5"/>
  <c r="C86" i="5"/>
  <c r="F63" i="5"/>
  <c r="G63" i="5"/>
  <c r="H63" i="5"/>
  <c r="I63" i="5"/>
  <c r="J63" i="5"/>
  <c r="C61" i="5"/>
  <c r="C67" i="5" s="1"/>
  <c r="C74" i="5" s="1"/>
  <c r="J92" i="5" l="1"/>
  <c r="J66" i="5"/>
  <c r="J70" i="5" s="1"/>
  <c r="J64" i="5"/>
  <c r="I66" i="5"/>
  <c r="I70" i="5" s="1"/>
  <c r="I64" i="5"/>
  <c r="G64" i="5"/>
  <c r="G66" i="5"/>
  <c r="G70" i="5" s="1"/>
  <c r="F66" i="5"/>
  <c r="F70" i="5" s="1"/>
  <c r="F64" i="5"/>
  <c r="H64" i="5"/>
  <c r="H66" i="5"/>
  <c r="H70" i="5" s="1"/>
  <c r="L68" i="5"/>
  <c r="L92" i="5" s="1"/>
  <c r="L67" i="5"/>
  <c r="L86" i="5" l="1"/>
  <c r="L85" i="5"/>
  <c r="L87" i="5"/>
  <c r="L84" i="5"/>
  <c r="L88" i="5"/>
  <c r="L69" i="5"/>
  <c r="L72" i="5" s="1"/>
  <c r="L93" i="5" s="1"/>
  <c r="L90" i="5"/>
  <c r="L89" i="5"/>
  <c r="L91" i="5"/>
  <c r="L77" i="5"/>
  <c r="L81" i="5"/>
  <c r="L78" i="5"/>
  <c r="L82" i="5"/>
  <c r="L75" i="5"/>
  <c r="L79" i="5"/>
  <c r="L83" i="5"/>
  <c r="L76" i="5"/>
  <c r="L80" i="5"/>
  <c r="L74" i="5"/>
  <c r="L101" i="5" l="1"/>
  <c r="L102" i="5" s="1"/>
  <c r="M10" i="1" s="1"/>
  <c r="B16" i="5"/>
  <c r="B17" i="5"/>
  <c r="B19" i="5"/>
  <c r="B20" i="5"/>
  <c r="B6" i="5"/>
  <c r="B14" i="5"/>
  <c r="B13" i="5"/>
  <c r="B7" i="5"/>
  <c r="B8" i="5"/>
  <c r="B9" i="5"/>
  <c r="B10" i="5"/>
  <c r="B11" i="5"/>
  <c r="B12" i="5"/>
  <c r="B5" i="5"/>
  <c r="F25" i="5"/>
  <c r="F26" i="5" l="1"/>
  <c r="F31" i="5"/>
  <c r="I53" i="5"/>
  <c r="H53" i="5"/>
  <c r="H52" i="5"/>
  <c r="G53" i="5"/>
  <c r="G52" i="5"/>
  <c r="H50" i="5"/>
  <c r="E7" i="9"/>
  <c r="B31" i="8"/>
  <c r="E10" i="9"/>
  <c r="B7" i="1"/>
  <c r="C23" i="10"/>
  <c r="G23" i="2"/>
  <c r="B38" i="8"/>
  <c r="E9" i="9"/>
  <c r="G13" i="2"/>
  <c r="G22" i="2"/>
  <c r="B36" i="8"/>
  <c r="B8" i="1"/>
  <c r="E45" i="9"/>
  <c r="G17" i="2"/>
  <c r="E39" i="9"/>
  <c r="B25" i="8"/>
  <c r="B37" i="8"/>
  <c r="E19" i="9"/>
  <c r="E31" i="9"/>
  <c r="E46" i="9"/>
  <c r="C25" i="10"/>
  <c r="C22" i="10"/>
  <c r="B9" i="1"/>
  <c r="E25" i="9"/>
  <c r="G12" i="2"/>
  <c r="E34" i="9"/>
  <c r="E28" i="9"/>
  <c r="G19" i="2"/>
  <c r="E37" i="9"/>
  <c r="G24" i="2"/>
  <c r="L3" i="9"/>
  <c r="C21" i="10"/>
  <c r="E13" i="9"/>
  <c r="B27" i="8"/>
  <c r="E22" i="9"/>
  <c r="B13" i="1"/>
  <c r="B33" i="8"/>
  <c r="C26" i="10"/>
  <c r="E40" i="9"/>
  <c r="G11" i="2"/>
  <c r="B26" i="8"/>
  <c r="E33" i="9"/>
  <c r="E27" i="9"/>
  <c r="B10" i="1"/>
  <c r="B32" i="8"/>
  <c r="E15" i="9"/>
  <c r="E16" i="9"/>
  <c r="E43" i="9"/>
  <c r="G18" i="2"/>
  <c r="D39" i="5" l="1"/>
  <c r="E39" i="5" s="1"/>
  <c r="F39" i="5" s="1"/>
  <c r="G39" i="5" s="1"/>
  <c r="H39" i="5" s="1"/>
  <c r="I39" i="5" s="1"/>
  <c r="J39" i="5" s="1"/>
  <c r="K39" i="5" s="1"/>
  <c r="L39" i="5" s="1"/>
  <c r="M39" i="5" s="1"/>
  <c r="N39" i="5" s="1"/>
  <c r="O39" i="5" s="1"/>
  <c r="P39" i="5" s="1"/>
  <c r="Q39" i="5" s="1"/>
  <c r="R39" i="5" s="1"/>
  <c r="S39" i="5" s="1"/>
  <c r="T39" i="5" s="1"/>
  <c r="U39" i="5" s="1"/>
  <c r="V39" i="5" s="1"/>
  <c r="C41" i="5"/>
  <c r="C42" i="5"/>
  <c r="D42" i="5" s="1"/>
  <c r="E42" i="5" s="1"/>
  <c r="F42" i="5" s="1"/>
  <c r="G42" i="5" s="1"/>
  <c r="H42" i="5" s="1"/>
  <c r="I42" i="5" s="1"/>
  <c r="J42" i="5" s="1"/>
  <c r="K42" i="5" s="1"/>
  <c r="L42" i="5" s="1"/>
  <c r="M42" i="5" s="1"/>
  <c r="N42" i="5" s="1"/>
  <c r="O42" i="5" s="1"/>
  <c r="P42" i="5" s="1"/>
  <c r="Q42" i="5" s="1"/>
  <c r="R42" i="5" s="1"/>
  <c r="S42" i="5" s="1"/>
  <c r="T42" i="5" s="1"/>
  <c r="U42" i="5" s="1"/>
  <c r="V42" i="5" s="1"/>
  <c r="D19" i="2"/>
  <c r="D26" i="2" s="1"/>
  <c r="F28" i="5"/>
  <c r="A102" i="5"/>
  <c r="C10" i="2"/>
  <c r="A101" i="5" l="1"/>
  <c r="D41" i="5"/>
  <c r="E41" i="5" s="1"/>
  <c r="F41" i="5" s="1"/>
  <c r="G41" i="5" s="1"/>
  <c r="H41" i="5" s="1"/>
  <c r="I41" i="5" s="1"/>
  <c r="J41" i="5" s="1"/>
  <c r="K41" i="5" s="1"/>
  <c r="L41" i="5" s="1"/>
  <c r="M41" i="5" s="1"/>
  <c r="N41" i="5" s="1"/>
  <c r="O41" i="5" s="1"/>
  <c r="P41" i="5" s="1"/>
  <c r="Q41" i="5" s="1"/>
  <c r="R41" i="5" s="1"/>
  <c r="S41" i="5" s="1"/>
  <c r="T41" i="5" s="1"/>
  <c r="U41" i="5" s="1"/>
  <c r="V41" i="5" s="1"/>
  <c r="Y42" i="5"/>
  <c r="D22" i="9" s="1"/>
  <c r="X42" i="5"/>
  <c r="C45" i="5"/>
  <c r="D45" i="5" s="1"/>
  <c r="E45" i="5" s="1"/>
  <c r="F45" i="5" s="1"/>
  <c r="G45" i="5" s="1"/>
  <c r="H45" i="5" s="1"/>
  <c r="I45" i="5" s="1"/>
  <c r="J45" i="5" s="1"/>
  <c r="K45" i="5" s="1"/>
  <c r="L45" i="5" s="1"/>
  <c r="M45" i="5" s="1"/>
  <c r="N45" i="5" s="1"/>
  <c r="O45" i="5" s="1"/>
  <c r="P45" i="5" s="1"/>
  <c r="Q45" i="5" s="1"/>
  <c r="R45" i="5" s="1"/>
  <c r="S45" i="5" s="1"/>
  <c r="T45" i="5" s="1"/>
  <c r="U45" i="5" s="1"/>
  <c r="V45" i="5" s="1"/>
  <c r="C46" i="5" l="1"/>
  <c r="X41" i="5"/>
  <c r="Y41" i="5"/>
  <c r="D16" i="9" s="1"/>
  <c r="Y45" i="5"/>
  <c r="D40" i="9" s="1"/>
  <c r="X45" i="5"/>
  <c r="D46" i="5" l="1"/>
  <c r="E46" i="5" s="1"/>
  <c r="F46" i="5" s="1"/>
  <c r="G46" i="5" s="1"/>
  <c r="H46" i="5" s="1"/>
  <c r="I46" i="5" s="1"/>
  <c r="J46" i="5" s="1"/>
  <c r="K46" i="5" s="1"/>
  <c r="L46" i="5" s="1"/>
  <c r="M46" i="5" s="1"/>
  <c r="N46" i="5" s="1"/>
  <c r="O46" i="5" s="1"/>
  <c r="P46" i="5" s="1"/>
  <c r="Q46" i="5" s="1"/>
  <c r="R46" i="5" s="1"/>
  <c r="S46" i="5" s="1"/>
  <c r="T46" i="5" s="1"/>
  <c r="U46" i="5" s="1"/>
  <c r="V46" i="5" s="1"/>
  <c r="C25" i="5"/>
  <c r="X46" i="5" l="1"/>
  <c r="Y46" i="5"/>
  <c r="D46" i="9" s="1"/>
  <c r="C43" i="5" l="1"/>
  <c r="C40" i="5"/>
  <c r="D40" i="5" l="1"/>
  <c r="E40" i="5" s="1"/>
  <c r="F40" i="5" s="1"/>
  <c r="G40" i="5" s="1"/>
  <c r="H40" i="5" s="1"/>
  <c r="I40" i="5" s="1"/>
  <c r="J40" i="5" s="1"/>
  <c r="K40" i="5" s="1"/>
  <c r="L40" i="5" s="1"/>
  <c r="M40" i="5" s="1"/>
  <c r="N40" i="5" s="1"/>
  <c r="O40" i="5" s="1"/>
  <c r="P40" i="5" s="1"/>
  <c r="Q40" i="5" s="1"/>
  <c r="R40" i="5" s="1"/>
  <c r="S40" i="5" s="1"/>
  <c r="T40" i="5" s="1"/>
  <c r="U40" i="5" s="1"/>
  <c r="V40" i="5" s="1"/>
  <c r="D43" i="5"/>
  <c r="E43" i="5" s="1"/>
  <c r="F43" i="5" s="1"/>
  <c r="G43" i="5" s="1"/>
  <c r="H43" i="5" s="1"/>
  <c r="I43" i="5" s="1"/>
  <c r="J43" i="5" s="1"/>
  <c r="K43" i="5" s="1"/>
  <c r="L43" i="5" s="1"/>
  <c r="M43" i="5" s="1"/>
  <c r="N43" i="5" s="1"/>
  <c r="O43" i="5" s="1"/>
  <c r="P43" i="5" s="1"/>
  <c r="Q43" i="5" s="1"/>
  <c r="R43" i="5" s="1"/>
  <c r="S43" i="5" s="1"/>
  <c r="T43" i="5" s="1"/>
  <c r="U43" i="5" s="1"/>
  <c r="V43" i="5" s="1"/>
  <c r="C44" i="5"/>
  <c r="X40" i="5" l="1"/>
  <c r="Y40" i="5"/>
  <c r="D10" i="9" s="1"/>
  <c r="X43" i="5"/>
  <c r="Y43" i="5"/>
  <c r="D28" i="9" s="1"/>
  <c r="D44" i="5"/>
  <c r="E44" i="5" s="1"/>
  <c r="F44" i="5" s="1"/>
  <c r="G44" i="5" s="1"/>
  <c r="H44" i="5" s="1"/>
  <c r="I44" i="5" s="1"/>
  <c r="J44" i="5" s="1"/>
  <c r="K44" i="5" s="1"/>
  <c r="L44" i="5" s="1"/>
  <c r="M44" i="5" s="1"/>
  <c r="N44" i="5" s="1"/>
  <c r="O44" i="5" s="1"/>
  <c r="P44" i="5" s="1"/>
  <c r="Q44" i="5" s="1"/>
  <c r="R44" i="5" s="1"/>
  <c r="S44" i="5" s="1"/>
  <c r="T44" i="5" s="1"/>
  <c r="U44" i="5" s="1"/>
  <c r="V44" i="5" s="1"/>
  <c r="Y44" i="5" l="1"/>
  <c r="D34" i="9" s="1"/>
  <c r="L27" i="8" s="1"/>
  <c r="X44" i="5"/>
  <c r="I11" i="2"/>
  <c r="D13" i="2" l="1"/>
  <c r="K27" i="8"/>
  <c r="H33" i="8"/>
  <c r="H32" i="8" s="1"/>
  <c r="F27" i="8"/>
  <c r="E27" i="8"/>
  <c r="C27" i="8"/>
  <c r="I27" i="8"/>
  <c r="D27" i="8"/>
  <c r="G27" i="8"/>
  <c r="J27" i="8"/>
  <c r="H27" i="8"/>
  <c r="C60" i="5"/>
  <c r="C84" i="5" s="1"/>
  <c r="C59" i="5"/>
  <c r="D15" i="2" l="1"/>
  <c r="D25" i="2"/>
  <c r="C8" i="1" s="1"/>
  <c r="H34" i="8"/>
  <c r="I62" i="5" s="1"/>
  <c r="C83" i="5"/>
  <c r="C68" i="5"/>
  <c r="C71" i="5"/>
  <c r="I60" i="5"/>
  <c r="I67" i="5" s="1"/>
  <c r="I59" i="5"/>
  <c r="C15" i="1" l="1"/>
  <c r="L7" i="8"/>
  <c r="N15" i="1" s="1"/>
  <c r="D8" i="10"/>
  <c r="D15" i="1" s="1"/>
  <c r="D7" i="8"/>
  <c r="F15" i="1" s="1"/>
  <c r="F7" i="8"/>
  <c r="H15" i="1" s="1"/>
  <c r="C7" i="8"/>
  <c r="I7" i="8"/>
  <c r="K15" i="1" s="1"/>
  <c r="D27" i="2"/>
  <c r="H7" i="8"/>
  <c r="J15" i="1" s="1"/>
  <c r="J7" i="8"/>
  <c r="L15" i="1" s="1"/>
  <c r="K7" i="8"/>
  <c r="M15" i="1" s="1"/>
  <c r="E7" i="8"/>
  <c r="G15" i="1" s="1"/>
  <c r="G7" i="8"/>
  <c r="I15" i="1" s="1"/>
  <c r="L8" i="8"/>
  <c r="L31" i="8" s="1"/>
  <c r="C8" i="8"/>
  <c r="C31" i="8" s="1"/>
  <c r="D24" i="2"/>
  <c r="D9" i="10"/>
  <c r="G8" i="8"/>
  <c r="G31" i="8" s="1"/>
  <c r="D8" i="8"/>
  <c r="D31" i="8" s="1"/>
  <c r="J8" i="8"/>
  <c r="F8" i="8"/>
  <c r="F31" i="8" s="1"/>
  <c r="K8" i="8"/>
  <c r="M9" i="1" s="1"/>
  <c r="H8" i="8"/>
  <c r="I8" i="8"/>
  <c r="E8" i="8"/>
  <c r="E31" i="8" s="1"/>
  <c r="I87" i="5"/>
  <c r="I84" i="5"/>
  <c r="I86" i="5"/>
  <c r="I88" i="5"/>
  <c r="I85" i="5"/>
  <c r="I68" i="5"/>
  <c r="C75" i="5"/>
  <c r="C79" i="5"/>
  <c r="C80" i="5"/>
  <c r="C76" i="5"/>
  <c r="C82" i="5"/>
  <c r="C81" i="5"/>
  <c r="C78" i="5"/>
  <c r="C77" i="5"/>
  <c r="C69" i="5"/>
  <c r="C91" i="5"/>
  <c r="C90" i="5"/>
  <c r="C89" i="5"/>
  <c r="C92" i="5"/>
  <c r="I71" i="5"/>
  <c r="I72" i="5" s="1"/>
  <c r="I75" i="5"/>
  <c r="I76" i="5"/>
  <c r="I77" i="5"/>
  <c r="I78" i="5"/>
  <c r="I79" i="5"/>
  <c r="I80" i="5"/>
  <c r="I81" i="5"/>
  <c r="I82" i="5"/>
  <c r="I83" i="5"/>
  <c r="J60" i="5"/>
  <c r="J59" i="5"/>
  <c r="K60" i="5"/>
  <c r="K59" i="5"/>
  <c r="I74" i="5"/>
  <c r="M7" i="1" l="1"/>
  <c r="M11" i="1" s="1"/>
  <c r="F33" i="8"/>
  <c r="F32" i="8" s="1"/>
  <c r="F34" i="8" s="1"/>
  <c r="G62" i="5" s="1"/>
  <c r="L33" i="8"/>
  <c r="M59" i="5" s="1"/>
  <c r="D16" i="1"/>
  <c r="D8" i="1"/>
  <c r="E15" i="1"/>
  <c r="E16" i="1" s="1"/>
  <c r="C16" i="1"/>
  <c r="H16" i="1"/>
  <c r="L16" i="1"/>
  <c r="K16" i="1"/>
  <c r="I16" i="1"/>
  <c r="M16" i="1"/>
  <c r="F16" i="1"/>
  <c r="J16" i="1"/>
  <c r="N16" i="1"/>
  <c r="G16" i="1"/>
  <c r="B110" i="5"/>
  <c r="B111" i="5" s="1"/>
  <c r="B112" i="5" s="1"/>
  <c r="B113" i="5" s="1"/>
  <c r="B114" i="5" s="1"/>
  <c r="B115" i="5" s="1"/>
  <c r="B116" i="5" s="1"/>
  <c r="B117" i="5" s="1"/>
  <c r="B118" i="5" s="1"/>
  <c r="B119" i="5" s="1"/>
  <c r="B120" i="5" s="1"/>
  <c r="B121" i="5" s="1"/>
  <c r="B122" i="5" s="1"/>
  <c r="B123" i="5" s="1"/>
  <c r="B124" i="5" s="1"/>
  <c r="B125" i="5" s="1"/>
  <c r="B126" i="5" s="1"/>
  <c r="B127" i="5" s="1"/>
  <c r="B128" i="5" s="1"/>
  <c r="D33" i="8"/>
  <c r="C33" i="8"/>
  <c r="D9" i="1"/>
  <c r="G33" i="8"/>
  <c r="E33" i="8"/>
  <c r="D7" i="1"/>
  <c r="J71" i="5"/>
  <c r="J72" i="5" s="1"/>
  <c r="J93" i="5" s="1"/>
  <c r="K71" i="5"/>
  <c r="K72" i="5" s="1"/>
  <c r="C72" i="5"/>
  <c r="C93" i="5" s="1"/>
  <c r="C101" i="5" s="1"/>
  <c r="C102" i="5" s="1"/>
  <c r="D72" i="5"/>
  <c r="I69" i="5"/>
  <c r="I91" i="5"/>
  <c r="I92" i="5"/>
  <c r="I89" i="5"/>
  <c r="I90" i="5"/>
  <c r="I93" i="5"/>
  <c r="K67" i="5"/>
  <c r="K68" i="5"/>
  <c r="J67" i="5"/>
  <c r="J68" i="5"/>
  <c r="D11" i="1" l="1"/>
  <c r="G59" i="5"/>
  <c r="G60" i="5"/>
  <c r="G67" i="5" s="1"/>
  <c r="G85" i="5" s="1"/>
  <c r="C32" i="8"/>
  <c r="D59" i="5"/>
  <c r="C110" i="5"/>
  <c r="C111" i="5" s="1"/>
  <c r="C112" i="5" s="1"/>
  <c r="C113" i="5" s="1"/>
  <c r="C114" i="5" s="1"/>
  <c r="C115" i="5" s="1"/>
  <c r="C116" i="5" s="1"/>
  <c r="C117" i="5" s="1"/>
  <c r="C118" i="5" s="1"/>
  <c r="C119" i="5" s="1"/>
  <c r="C120" i="5" s="1"/>
  <c r="C121" i="5" s="1"/>
  <c r="C122" i="5" s="1"/>
  <c r="C123" i="5" s="1"/>
  <c r="C124" i="5" s="1"/>
  <c r="C125" i="5" s="1"/>
  <c r="C126" i="5" s="1"/>
  <c r="C127" i="5" s="1"/>
  <c r="C128" i="5" s="1"/>
  <c r="C129" i="5" s="1"/>
  <c r="D13" i="1"/>
  <c r="D14" i="1" s="1"/>
  <c r="E32" i="8"/>
  <c r="F59" i="5"/>
  <c r="D32" i="8"/>
  <c r="E59" i="5"/>
  <c r="G32" i="8"/>
  <c r="H59" i="5"/>
  <c r="L32" i="8"/>
  <c r="L34" i="8" s="1"/>
  <c r="M13" i="1"/>
  <c r="M8" i="1"/>
  <c r="L110" i="5" s="1"/>
  <c r="L111" i="5" s="1"/>
  <c r="L112" i="5" s="1"/>
  <c r="L113" i="5" s="1"/>
  <c r="L114" i="5" s="1"/>
  <c r="L115" i="5" s="1"/>
  <c r="L116" i="5" s="1"/>
  <c r="L117" i="5" s="1"/>
  <c r="L118" i="5" s="1"/>
  <c r="L119" i="5" s="1"/>
  <c r="L120" i="5" s="1"/>
  <c r="L121" i="5" s="1"/>
  <c r="L122" i="5" s="1"/>
  <c r="L123" i="5" s="1"/>
  <c r="L124" i="5" s="1"/>
  <c r="L125" i="5" s="1"/>
  <c r="L126" i="5" s="1"/>
  <c r="L127" i="5" s="1"/>
  <c r="L128" i="5" s="1"/>
  <c r="L129" i="5" s="1"/>
  <c r="M12" i="1"/>
  <c r="K93" i="5"/>
  <c r="J84" i="5"/>
  <c r="J88" i="5"/>
  <c r="J85" i="5"/>
  <c r="J86" i="5"/>
  <c r="J87" i="5"/>
  <c r="K85" i="5"/>
  <c r="K92" i="5"/>
  <c r="K86" i="5"/>
  <c r="K84" i="5"/>
  <c r="K87" i="5"/>
  <c r="K88" i="5"/>
  <c r="B129" i="5"/>
  <c r="C10" i="1"/>
  <c r="K69" i="5"/>
  <c r="K89" i="5"/>
  <c r="K90" i="5"/>
  <c r="K91" i="5"/>
  <c r="J69" i="5"/>
  <c r="J90" i="5"/>
  <c r="J91" i="5"/>
  <c r="J89" i="5"/>
  <c r="I101" i="5"/>
  <c r="I102" i="5" s="1"/>
  <c r="J10" i="1" s="1"/>
  <c r="K78" i="5"/>
  <c r="K82" i="5"/>
  <c r="K81" i="5"/>
  <c r="K75" i="5"/>
  <c r="K79" i="5"/>
  <c r="K83" i="5"/>
  <c r="K77" i="5"/>
  <c r="K76" i="5"/>
  <c r="K80" i="5"/>
  <c r="J75" i="5"/>
  <c r="J79" i="5"/>
  <c r="J83" i="5"/>
  <c r="J76" i="5"/>
  <c r="J80" i="5"/>
  <c r="J77" i="5"/>
  <c r="J81" i="5"/>
  <c r="J78" i="5"/>
  <c r="J82" i="5"/>
  <c r="J74" i="5"/>
  <c r="K74" i="5"/>
  <c r="G90" i="5" l="1"/>
  <c r="G91" i="5"/>
  <c r="G92" i="5"/>
  <c r="J9" i="1"/>
  <c r="J7" i="1"/>
  <c r="C7" i="1"/>
  <c r="C9" i="1"/>
  <c r="G89" i="5"/>
  <c r="G84" i="5"/>
  <c r="G74" i="5"/>
  <c r="G68" i="5"/>
  <c r="G69" i="5" s="1"/>
  <c r="G75" i="5"/>
  <c r="G71" i="5"/>
  <c r="G72" i="5" s="1"/>
  <c r="G93" i="5" s="1"/>
  <c r="G81" i="5"/>
  <c r="G87" i="5"/>
  <c r="G80" i="5"/>
  <c r="G76" i="5"/>
  <c r="G86" i="5"/>
  <c r="G83" i="5"/>
  <c r="G79" i="5"/>
  <c r="G88" i="5"/>
  <c r="G77" i="5"/>
  <c r="G78" i="5"/>
  <c r="G82" i="5"/>
  <c r="M14" i="1"/>
  <c r="M62" i="5"/>
  <c r="M60" i="5"/>
  <c r="M71" i="5" s="1"/>
  <c r="D34" i="8"/>
  <c r="E62" i="5" s="1"/>
  <c r="E60" i="5"/>
  <c r="G34" i="8"/>
  <c r="H62" i="5" s="1"/>
  <c r="H60" i="5"/>
  <c r="E34" i="8"/>
  <c r="F62" i="5" s="1"/>
  <c r="F60" i="5"/>
  <c r="C34" i="8"/>
  <c r="D62" i="5" s="1"/>
  <c r="D60" i="5"/>
  <c r="J101" i="5"/>
  <c r="J102" i="5" s="1"/>
  <c r="K101" i="5"/>
  <c r="K102" i="5" s="1"/>
  <c r="J11" i="1" l="1"/>
  <c r="J12" i="1" s="1"/>
  <c r="C11" i="1"/>
  <c r="C12" i="1" s="1"/>
  <c r="G101" i="5"/>
  <c r="G102" i="5" s="1"/>
  <c r="H10" i="1" s="1"/>
  <c r="J13" i="1"/>
  <c r="J14" i="1" s="1"/>
  <c r="F67" i="5"/>
  <c r="F74" i="5" s="1"/>
  <c r="E67" i="5"/>
  <c r="E74" i="5" s="1"/>
  <c r="D67" i="5"/>
  <c r="D78" i="5" s="1"/>
  <c r="H67" i="5"/>
  <c r="H74" i="5" s="1"/>
  <c r="E71" i="5"/>
  <c r="E72" i="5" s="1"/>
  <c r="D68" i="5"/>
  <c r="D69" i="5" s="1"/>
  <c r="D88" i="5"/>
  <c r="D90" i="5"/>
  <c r="H68" i="5"/>
  <c r="H69" i="5" s="1"/>
  <c r="D71" i="5"/>
  <c r="E92" i="5"/>
  <c r="E68" i="5"/>
  <c r="E69" i="5" s="1"/>
  <c r="E91" i="5"/>
  <c r="E90" i="5"/>
  <c r="E93" i="5"/>
  <c r="E86" i="5"/>
  <c r="E89" i="5"/>
  <c r="F68" i="5"/>
  <c r="F69" i="5" s="1"/>
  <c r="F86" i="5"/>
  <c r="F85" i="5"/>
  <c r="F83" i="5"/>
  <c r="F89" i="5"/>
  <c r="F82" i="5"/>
  <c r="F71" i="5"/>
  <c r="F72" i="5" s="1"/>
  <c r="H71" i="5"/>
  <c r="H72" i="5" s="1"/>
  <c r="M67" i="5"/>
  <c r="M74" i="5" s="1"/>
  <c r="M68" i="5"/>
  <c r="M69" i="5" s="1"/>
  <c r="J8" i="1"/>
  <c r="I110" i="5" s="1"/>
  <c r="I111" i="5" s="1"/>
  <c r="I112" i="5" s="1"/>
  <c r="I113" i="5" s="1"/>
  <c r="I114" i="5" s="1"/>
  <c r="I115" i="5" s="1"/>
  <c r="I116" i="5" s="1"/>
  <c r="I117" i="5" s="1"/>
  <c r="I118" i="5" s="1"/>
  <c r="I119" i="5" s="1"/>
  <c r="I120" i="5" s="1"/>
  <c r="I121" i="5" s="1"/>
  <c r="I122" i="5" s="1"/>
  <c r="I123" i="5" s="1"/>
  <c r="I124" i="5" s="1"/>
  <c r="I125" i="5" s="1"/>
  <c r="I126" i="5" s="1"/>
  <c r="I127" i="5" s="1"/>
  <c r="I128" i="5" s="1"/>
  <c r="I129" i="5" s="1"/>
  <c r="C13" i="1"/>
  <c r="C14" i="1" s="1"/>
  <c r="L10" i="1"/>
  <c r="K10" i="1"/>
  <c r="E85" i="5" l="1"/>
  <c r="E87" i="5"/>
  <c r="D86" i="5"/>
  <c r="H82" i="5"/>
  <c r="H85" i="5"/>
  <c r="H78" i="5"/>
  <c r="E88" i="5"/>
  <c r="H89" i="5"/>
  <c r="D83" i="5"/>
  <c r="K9" i="1"/>
  <c r="K7" i="1"/>
  <c r="L7" i="1"/>
  <c r="L9" i="1"/>
  <c r="H7" i="1"/>
  <c r="H9" i="1"/>
  <c r="H75" i="5"/>
  <c r="M91" i="5"/>
  <c r="H92" i="5"/>
  <c r="H91" i="5"/>
  <c r="H80" i="5"/>
  <c r="H88" i="5"/>
  <c r="H84" i="5"/>
  <c r="D89" i="5"/>
  <c r="M93" i="5"/>
  <c r="H83" i="5"/>
  <c r="H77" i="5"/>
  <c r="H90" i="5"/>
  <c r="H86" i="5"/>
  <c r="M92" i="5"/>
  <c r="H79" i="5"/>
  <c r="H81" i="5"/>
  <c r="H76" i="5"/>
  <c r="H87" i="5"/>
  <c r="D93" i="5"/>
  <c r="D92" i="5"/>
  <c r="F81" i="5"/>
  <c r="F91" i="5"/>
  <c r="F84" i="5"/>
  <c r="D91" i="5"/>
  <c r="D82" i="5"/>
  <c r="D87" i="5"/>
  <c r="F90" i="5"/>
  <c r="F92" i="5"/>
  <c r="F88" i="5"/>
  <c r="F87" i="5"/>
  <c r="F76" i="5"/>
  <c r="D81" i="5"/>
  <c r="D84" i="5"/>
  <c r="D85" i="5"/>
  <c r="D80" i="5"/>
  <c r="D77" i="5"/>
  <c r="D76" i="5"/>
  <c r="H93" i="5"/>
  <c r="F93" i="5"/>
  <c r="F77" i="5"/>
  <c r="E79" i="5"/>
  <c r="E83" i="5"/>
  <c r="E77" i="5"/>
  <c r="E80" i="5"/>
  <c r="F75" i="5"/>
  <c r="E78" i="5"/>
  <c r="E76" i="5"/>
  <c r="F78" i="5"/>
  <c r="D75" i="5"/>
  <c r="F80" i="5"/>
  <c r="F79" i="5"/>
  <c r="D74" i="5"/>
  <c r="E82" i="5"/>
  <c r="E81" i="5"/>
  <c r="E84" i="5"/>
  <c r="E75" i="5"/>
  <c r="D79" i="5"/>
  <c r="M75" i="5"/>
  <c r="M88" i="5"/>
  <c r="M86" i="5"/>
  <c r="M90" i="5"/>
  <c r="M83" i="5"/>
  <c r="M89" i="5"/>
  <c r="M87" i="5"/>
  <c r="M82" i="5"/>
  <c r="M84" i="5"/>
  <c r="M85" i="5"/>
  <c r="M76" i="5"/>
  <c r="M77" i="5"/>
  <c r="M80" i="5"/>
  <c r="M78" i="5"/>
  <c r="M81" i="5"/>
  <c r="M79" i="5"/>
  <c r="L11" i="1" l="1"/>
  <c r="L12" i="1" s="1"/>
  <c r="K11" i="1"/>
  <c r="K12" i="1" s="1"/>
  <c r="H11" i="1"/>
  <c r="H12" i="1" s="1"/>
  <c r="D101" i="5"/>
  <c r="D102" i="5" s="1"/>
  <c r="H101" i="5"/>
  <c r="H102" i="5" s="1"/>
  <c r="I10" i="1" s="1"/>
  <c r="I9" i="1" s="1"/>
  <c r="F101" i="5"/>
  <c r="F102" i="5" s="1"/>
  <c r="G10" i="1" s="1"/>
  <c r="E101" i="5"/>
  <c r="E102" i="5" s="1"/>
  <c r="F10" i="1" s="1"/>
  <c r="M101" i="5"/>
  <c r="M102" i="5" s="1"/>
  <c r="N10" i="1" s="1"/>
  <c r="N9" i="1" s="1"/>
  <c r="L13" i="1"/>
  <c r="L8" i="1"/>
  <c r="H13" i="1"/>
  <c r="H8" i="1"/>
  <c r="K13" i="1"/>
  <c r="K8" i="1"/>
  <c r="I7" i="1" l="1"/>
  <c r="I11" i="1" s="1"/>
  <c r="N7" i="1"/>
  <c r="N11" i="1" s="1"/>
  <c r="G7" i="1"/>
  <c r="G9" i="1"/>
  <c r="F7" i="1"/>
  <c r="F9" i="1"/>
  <c r="E10" i="1"/>
  <c r="E9" i="1" s="1"/>
  <c r="K110" i="5"/>
  <c r="K111" i="5" s="1"/>
  <c r="K112" i="5" s="1"/>
  <c r="K113" i="5" s="1"/>
  <c r="K114" i="5" s="1"/>
  <c r="K115" i="5" s="1"/>
  <c r="K116" i="5" s="1"/>
  <c r="K117" i="5" s="1"/>
  <c r="K118" i="5" s="1"/>
  <c r="K119" i="5" s="1"/>
  <c r="K120" i="5" s="1"/>
  <c r="K121" i="5" s="1"/>
  <c r="K122" i="5" s="1"/>
  <c r="K123" i="5" s="1"/>
  <c r="K124" i="5" s="1"/>
  <c r="K125" i="5" s="1"/>
  <c r="K126" i="5" s="1"/>
  <c r="K127" i="5" s="1"/>
  <c r="K128" i="5" s="1"/>
  <c r="K129" i="5" s="1"/>
  <c r="J110" i="5"/>
  <c r="J111" i="5" s="1"/>
  <c r="J112" i="5" s="1"/>
  <c r="J113" i="5" s="1"/>
  <c r="J114" i="5" s="1"/>
  <c r="J115" i="5" s="1"/>
  <c r="J116" i="5" s="1"/>
  <c r="J117" i="5" s="1"/>
  <c r="J118" i="5" s="1"/>
  <c r="J119" i="5" s="1"/>
  <c r="J120" i="5" s="1"/>
  <c r="J121" i="5" s="1"/>
  <c r="J122" i="5" s="1"/>
  <c r="J123" i="5" s="1"/>
  <c r="J124" i="5" s="1"/>
  <c r="J125" i="5" s="1"/>
  <c r="J126" i="5" s="1"/>
  <c r="J127" i="5" s="1"/>
  <c r="J128" i="5" s="1"/>
  <c r="J129" i="5" s="1"/>
  <c r="G110" i="5"/>
  <c r="G111" i="5" s="1"/>
  <c r="G112" i="5" s="1"/>
  <c r="G113" i="5" s="1"/>
  <c r="G114" i="5" s="1"/>
  <c r="G115" i="5" s="1"/>
  <c r="G116" i="5" s="1"/>
  <c r="G117" i="5" s="1"/>
  <c r="G118" i="5" s="1"/>
  <c r="G119" i="5" s="1"/>
  <c r="G120" i="5" s="1"/>
  <c r="G121" i="5" s="1"/>
  <c r="G122" i="5" s="1"/>
  <c r="G123" i="5" s="1"/>
  <c r="G124" i="5" s="1"/>
  <c r="G125" i="5" s="1"/>
  <c r="G126" i="5" s="1"/>
  <c r="G127" i="5" s="1"/>
  <c r="G128" i="5" s="1"/>
  <c r="G129" i="5" s="1"/>
  <c r="H14" i="1"/>
  <c r="K14" i="1"/>
  <c r="L14" i="1"/>
  <c r="G11" i="1" l="1"/>
  <c r="G12" i="1" s="1"/>
  <c r="F11" i="1"/>
  <c r="F12" i="1" s="1"/>
  <c r="I13" i="1"/>
  <c r="I14" i="1" s="1"/>
  <c r="I8" i="1"/>
  <c r="H110" i="5" s="1"/>
  <c r="H111" i="5" s="1"/>
  <c r="H112" i="5" s="1"/>
  <c r="H113" i="5" s="1"/>
  <c r="H114" i="5" s="1"/>
  <c r="H115" i="5" s="1"/>
  <c r="H116" i="5" s="1"/>
  <c r="H117" i="5" s="1"/>
  <c r="H118" i="5" s="1"/>
  <c r="H119" i="5" s="1"/>
  <c r="H120" i="5" s="1"/>
  <c r="H121" i="5" s="1"/>
  <c r="H122" i="5" s="1"/>
  <c r="H123" i="5" s="1"/>
  <c r="H124" i="5" s="1"/>
  <c r="H125" i="5" s="1"/>
  <c r="H126" i="5" s="1"/>
  <c r="H127" i="5" s="1"/>
  <c r="H128" i="5" s="1"/>
  <c r="H129" i="5" s="1"/>
  <c r="N8" i="1"/>
  <c r="I12" i="1"/>
  <c r="E7" i="1"/>
  <c r="E11" i="1" s="1"/>
  <c r="G13" i="1"/>
  <c r="G14" i="1" s="1"/>
  <c r="G8" i="1"/>
  <c r="F110" i="5" s="1"/>
  <c r="F111" i="5" s="1"/>
  <c r="F112" i="5" s="1"/>
  <c r="F113" i="5" s="1"/>
  <c r="F114" i="5" s="1"/>
  <c r="F115" i="5" s="1"/>
  <c r="F116" i="5" s="1"/>
  <c r="F117" i="5" s="1"/>
  <c r="F118" i="5" s="1"/>
  <c r="F119" i="5" s="1"/>
  <c r="F120" i="5" s="1"/>
  <c r="F121" i="5" s="1"/>
  <c r="F122" i="5" s="1"/>
  <c r="F123" i="5" s="1"/>
  <c r="F124" i="5" s="1"/>
  <c r="F125" i="5" s="1"/>
  <c r="F126" i="5" s="1"/>
  <c r="F127" i="5" s="1"/>
  <c r="F128" i="5" s="1"/>
  <c r="F129" i="5" s="1"/>
  <c r="F13" i="1"/>
  <c r="F14" i="1" s="1"/>
  <c r="F8" i="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N13" i="1"/>
  <c r="N14" i="1" s="1"/>
  <c r="N12" i="1"/>
  <c r="D12" i="1"/>
  <c r="E12" i="1" l="1"/>
  <c r="E8" i="1"/>
  <c r="E13" i="1"/>
  <c r="E14" i="1" s="1"/>
  <c r="M110" i="5"/>
  <c r="M111" i="5" s="1"/>
  <c r="M112" i="5" s="1"/>
  <c r="M113" i="5" s="1"/>
  <c r="M114" i="5" s="1"/>
  <c r="M115" i="5" s="1"/>
  <c r="M116" i="5" s="1"/>
  <c r="M117" i="5" s="1"/>
  <c r="M118" i="5" s="1"/>
  <c r="M119" i="5" s="1"/>
  <c r="M120" i="5" s="1"/>
  <c r="M121" i="5" s="1"/>
  <c r="M122" i="5" s="1"/>
  <c r="M123" i="5" s="1"/>
  <c r="M124" i="5" s="1"/>
  <c r="M125" i="5" s="1"/>
  <c r="M126" i="5" s="1"/>
  <c r="M127" i="5" s="1"/>
  <c r="M128" i="5" s="1"/>
  <c r="M129" i="5" s="1"/>
  <c r="D110" i="5" l="1"/>
  <c r="D111" i="5" s="1"/>
  <c r="D112" i="5" s="1"/>
  <c r="D113" i="5" s="1"/>
  <c r="D114" i="5" s="1"/>
  <c r="D115" i="5" s="1"/>
  <c r="D116" i="5" s="1"/>
  <c r="D117" i="5" s="1"/>
  <c r="D118" i="5" s="1"/>
  <c r="D119" i="5" s="1"/>
  <c r="D120" i="5" s="1"/>
  <c r="D121" i="5" s="1"/>
  <c r="D122" i="5" s="1"/>
  <c r="D123" i="5" s="1"/>
  <c r="D124" i="5" s="1"/>
  <c r="D125" i="5" s="1"/>
  <c r="D126" i="5" s="1"/>
  <c r="D127" i="5" s="1"/>
  <c r="D128" i="5" s="1"/>
  <c r="D129" i="5" s="1"/>
</calcChain>
</file>

<file path=xl/sharedStrings.xml><?xml version="1.0" encoding="utf-8"?>
<sst xmlns="http://schemas.openxmlformats.org/spreadsheetml/2006/main" count="600" uniqueCount="313">
  <si>
    <t>Thereof…</t>
  </si>
  <si>
    <t>Oil</t>
  </si>
  <si>
    <t>Gas</t>
  </si>
  <si>
    <t>Technical parameters</t>
  </si>
  <si>
    <t>Parameters</t>
  </si>
  <si>
    <t>Electricity</t>
  </si>
  <si>
    <t>Additional costs</t>
  </si>
  <si>
    <t>Electric boiler</t>
  </si>
  <si>
    <t>Subsidy schemes…</t>
  </si>
  <si>
    <t>Fuel types</t>
  </si>
  <si>
    <t>This sheet contains information e.g. lists, data, labels, ... Helpful for the tool that should neither accesible nor visible for the user(s)</t>
  </si>
  <si>
    <t>Gas based boiler</t>
  </si>
  <si>
    <t>Oil based boiler</t>
  </si>
  <si>
    <t>Pellets boiler</t>
  </si>
  <si>
    <t>Predefined heating systems</t>
  </si>
  <si>
    <t>Fuel type selected</t>
  </si>
  <si>
    <t>Row n°</t>
  </si>
  <si>
    <t>Fuel type row - start</t>
  </si>
  <si>
    <t>Biomass (pellets)</t>
  </si>
  <si>
    <t>Data row - start</t>
  </si>
  <si>
    <t>Heat consumption column:</t>
  </si>
  <si>
    <t>Fuel type</t>
  </si>
  <si>
    <t>Fuel data</t>
  </si>
  <si>
    <t>Electrical heaters</t>
  </si>
  <si>
    <t>Coal-fired heating</t>
  </si>
  <si>
    <t>Coal</t>
  </si>
  <si>
    <t>Number of residents</t>
  </si>
  <si>
    <t>Yes</t>
  </si>
  <si>
    <t>No</t>
  </si>
  <si>
    <t>Biomass (wood log)</t>
  </si>
  <si>
    <t>Fuel prices</t>
  </si>
  <si>
    <t>Avg - 20 years</t>
  </si>
  <si>
    <t>Avg - 10 years</t>
  </si>
  <si>
    <t>Year n°</t>
  </si>
  <si>
    <t>Fuel type \ year</t>
  </si>
  <si>
    <t>Currencies</t>
  </si>
  <si>
    <t>Euro</t>
  </si>
  <si>
    <t>$</t>
  </si>
  <si>
    <t>EUR</t>
  </si>
  <si>
    <t>PLN</t>
  </si>
  <si>
    <t>Name</t>
  </si>
  <si>
    <t>Symbol</t>
  </si>
  <si>
    <t>USD</t>
  </si>
  <si>
    <t>United States dollar</t>
  </si>
  <si>
    <t>HRK</t>
  </si>
  <si>
    <t>Croatian Kuna</t>
  </si>
  <si>
    <t>Polish Złoty</t>
  </si>
  <si>
    <t>€</t>
  </si>
  <si>
    <t>CODE (ISO 4217)</t>
  </si>
  <si>
    <t>Exchange rate</t>
  </si>
  <si>
    <t>1 EUR</t>
  </si>
  <si>
    <t>1 USD</t>
  </si>
  <si>
    <t>1 PLN</t>
  </si>
  <si>
    <t>1 HRK</t>
  </si>
  <si>
    <t>Unit</t>
  </si>
  <si>
    <t xml:space="preserve">Net heating value </t>
  </si>
  <si>
    <t>[kWh/kg]</t>
  </si>
  <si>
    <t>Averaged price development</t>
  </si>
  <si>
    <t>[%/a]</t>
  </si>
  <si>
    <t>[€/kWh]</t>
  </si>
  <si>
    <r>
      <t>[kWh/kWh</t>
    </r>
    <r>
      <rPr>
        <vertAlign val="subscript"/>
        <sz val="11"/>
        <color theme="1"/>
        <rFont val="Calibri"/>
        <family val="2"/>
        <scheme val="minor"/>
      </rPr>
      <t>el</t>
    </r>
    <r>
      <rPr>
        <sz val="11"/>
        <color theme="1"/>
        <rFont val="Calibri"/>
        <family val="2"/>
        <scheme val="minor"/>
      </rPr>
      <t>]</t>
    </r>
  </si>
  <si>
    <t>Net heating value</t>
  </si>
  <si>
    <t>[kWh/l]</t>
  </si>
  <si>
    <t>[kWh/m³]</t>
  </si>
  <si>
    <t>[l/a]</t>
  </si>
  <si>
    <t>[kWh/a]</t>
  </si>
  <si>
    <t>[%]</t>
  </si>
  <si>
    <t>[kW]</t>
  </si>
  <si>
    <t>[kWh/(resident.a)]</t>
  </si>
  <si>
    <t>Specific heat demand for hot water preparation</t>
  </si>
  <si>
    <t>Heat demand for hot water preparation</t>
  </si>
  <si>
    <t>Heat demand for heating purposes</t>
  </si>
  <si>
    <t>Installed heat capacity</t>
  </si>
  <si>
    <t>Full load operating hours</t>
  </si>
  <si>
    <t>Annual efficiency (Boiler, Heat pump, …)</t>
  </si>
  <si>
    <t>Heat consumption</t>
  </si>
  <si>
    <r>
      <t>[m</t>
    </r>
    <r>
      <rPr>
        <sz val="11"/>
        <color theme="1"/>
        <rFont val="Calibri"/>
        <family val="2"/>
      </rPr>
      <t>³</t>
    </r>
    <r>
      <rPr>
        <sz val="11"/>
        <color theme="1"/>
        <rFont val="Calibri"/>
        <family val="2"/>
        <scheme val="minor"/>
      </rPr>
      <t>/a]</t>
    </r>
  </si>
  <si>
    <r>
      <t>[kWh</t>
    </r>
    <r>
      <rPr>
        <vertAlign val="subscript"/>
        <sz val="11"/>
        <color theme="1"/>
        <rFont val="Calibri"/>
        <family val="2"/>
        <scheme val="minor"/>
      </rPr>
      <t>el</t>
    </r>
    <r>
      <rPr>
        <sz val="11"/>
        <color theme="1"/>
        <rFont val="Calibri"/>
        <family val="2"/>
        <scheme val="minor"/>
      </rPr>
      <t>/a]</t>
    </r>
  </si>
  <si>
    <t>[kg/a]</t>
  </si>
  <si>
    <t>Fuel consumption</t>
  </si>
  <si>
    <r>
      <t>[EUR/m</t>
    </r>
    <r>
      <rPr>
        <sz val="11"/>
        <color theme="1"/>
        <rFont val="Calibri"/>
        <family val="2"/>
      </rPr>
      <t>³</t>
    </r>
    <r>
      <rPr>
        <sz val="11"/>
        <color theme="1"/>
        <rFont val="Calibri"/>
        <family val="2"/>
        <scheme val="minor"/>
      </rPr>
      <t>]</t>
    </r>
  </si>
  <si>
    <t>[EUR/l]</t>
  </si>
  <si>
    <t>[EUR/kWh]</t>
  </si>
  <si>
    <t>[EUR/kg]</t>
  </si>
  <si>
    <r>
      <t>[EUR/kWh</t>
    </r>
    <r>
      <rPr>
        <vertAlign val="subscript"/>
        <sz val="11"/>
        <color theme="1"/>
        <rFont val="Calibri"/>
        <family val="2"/>
        <scheme val="minor"/>
      </rPr>
      <t>el</t>
    </r>
    <r>
      <rPr>
        <sz val="11"/>
        <color theme="1"/>
        <rFont val="Calibri"/>
        <family val="2"/>
        <scheme val="minor"/>
      </rPr>
      <t>]</t>
    </r>
  </si>
  <si>
    <t>Currency selected</t>
  </si>
  <si>
    <t>Column</t>
  </si>
  <si>
    <t>Currency start at column</t>
  </si>
  <si>
    <t>[USD/m³]</t>
  </si>
  <si>
    <t>[USD/l]</t>
  </si>
  <si>
    <t>[USD/kg]</t>
  </si>
  <si>
    <t>[USD/kWhel]</t>
  </si>
  <si>
    <t>[PLN/m³]</t>
  </si>
  <si>
    <t>[PLN/l]</t>
  </si>
  <si>
    <t>[PLN/kg]</t>
  </si>
  <si>
    <t>[PLN/kWhel]</t>
  </si>
  <si>
    <t>[HRK/m³]</t>
  </si>
  <si>
    <t>[HRK/l]</t>
  </si>
  <si>
    <t>[HRK/kg]</t>
  </si>
  <si>
    <t>[HRK/kWhel]</t>
  </si>
  <si>
    <t>[USD/kWh]</t>
  </si>
  <si>
    <t>[PLN/kWh]</t>
  </si>
  <si>
    <t>[HRK/kWh]</t>
  </si>
  <si>
    <t>Fuel price [EUR/kWh]</t>
  </si>
  <si>
    <t>Fuel price [USD/kWh]</t>
  </si>
  <si>
    <t>Fuel price [PLN/kWh]</t>
  </si>
  <si>
    <t>Fuel price [HRK/kWh]</t>
  </si>
  <si>
    <t>Value</t>
  </si>
  <si>
    <t>[EUR]</t>
  </si>
  <si>
    <t>[HRK]</t>
  </si>
  <si>
    <t>[PLN]</t>
  </si>
  <si>
    <t>[USD]</t>
  </si>
  <si>
    <t>Necessary investment</t>
  </si>
  <si>
    <t>Equity</t>
  </si>
  <si>
    <t>Interest rate</t>
  </si>
  <si>
    <t xml:space="preserve">Amount to be financed </t>
  </si>
  <si>
    <t>Annuity + equity</t>
  </si>
  <si>
    <t>Averaged investment</t>
  </si>
  <si>
    <t>Wood chip boiler</t>
  </si>
  <si>
    <t>Wood log boiler</t>
  </si>
  <si>
    <t>Heat price (base year)</t>
  </si>
  <si>
    <t>Fuel price (base year)</t>
  </si>
  <si>
    <t>Sum of payments</t>
  </si>
  <si>
    <t>[EUR/a]</t>
  </si>
  <si>
    <t>[USD/a]</t>
  </si>
  <si>
    <t>[PLN/a]</t>
  </si>
  <si>
    <t>[HRK/a]</t>
  </si>
  <si>
    <t>Column HeatSupplyT</t>
  </si>
  <si>
    <t>Loan interest rate</t>
  </si>
  <si>
    <t>Available capital (= max Equity)</t>
  </si>
  <si>
    <t>Economic boundary conditions</t>
  </si>
  <si>
    <t>Average heat price 20-years</t>
  </si>
  <si>
    <t>Do not overwrite white cells formulas --&gt;</t>
  </si>
  <si>
    <t>Economic parameters</t>
  </si>
  <si>
    <t>Total amount to be payed (reinvest)</t>
  </si>
  <si>
    <t>Bonus at 20 years (Rest value - open payments)</t>
  </si>
  <si>
    <t>Remaining lifetime installation [a]</t>
  </si>
  <si>
    <t>Lifetime [a]</t>
  </si>
  <si>
    <t>Loan period [a]</t>
  </si>
  <si>
    <t>Rest value installation (linear value deprecation)</t>
  </si>
  <si>
    <t>Oil boiler</t>
  </si>
  <si>
    <t>Coal boiler</t>
  </si>
  <si>
    <t>Fuel mix</t>
  </si>
  <si>
    <t>Domestic hot water preparation</t>
  </si>
  <si>
    <t>Heat pump</t>
  </si>
  <si>
    <t>Technical parameter</t>
  </si>
  <si>
    <t>Row n° (Heat value)</t>
  </si>
  <si>
    <t>Data column</t>
  </si>
  <si>
    <t>General data</t>
  </si>
  <si>
    <t>DH System</t>
  </si>
  <si>
    <t>Parameters for the economic evaluation</t>
  </si>
  <si>
    <t>Heat demand definition</t>
  </si>
  <si>
    <t>Row n° (Averaged heat price)</t>
  </si>
  <si>
    <t>Input data: existing heating system</t>
  </si>
  <si>
    <t>Existing heating system</t>
  </si>
  <si>
    <t>[-]</t>
  </si>
  <si>
    <t>[a]</t>
  </si>
  <si>
    <t>[EUR/(kW.a)]</t>
  </si>
  <si>
    <t>Installation lifetime</t>
  </si>
  <si>
    <t>on investment</t>
  </si>
  <si>
    <t>Basic charge</t>
  </si>
  <si>
    <t>Meter charge</t>
  </si>
  <si>
    <t>Energy charge</t>
  </si>
  <si>
    <t>Investment (without subsidy)</t>
  </si>
  <si>
    <t>Invest to be financed</t>
  </si>
  <si>
    <t>Maintenance costs</t>
  </si>
  <si>
    <t>Additional costs I</t>
  </si>
  <si>
    <t>Additional costs II</t>
  </si>
  <si>
    <t>Effective heating cost</t>
  </si>
  <si>
    <t>Averaged investment costs</t>
  </si>
  <si>
    <t>There of.. Financing costs</t>
  </si>
  <si>
    <t>Fixed costs</t>
  </si>
  <si>
    <t>Variable costs</t>
  </si>
  <si>
    <t>Effective heat cost</t>
  </si>
  <si>
    <t>[USD/(kW.a)]</t>
  </si>
  <si>
    <t>[PLN/(kW.a)]</t>
  </si>
  <si>
    <t>[HRK/(kW.a)]</t>
  </si>
  <si>
    <t>Share fixed costs</t>
  </si>
  <si>
    <t>Share variable costs</t>
  </si>
  <si>
    <t>Description</t>
  </si>
  <si>
    <t>Heat demand to be supplied</t>
  </si>
  <si>
    <t>Heat capacity demand</t>
  </si>
  <si>
    <t>biomass</t>
  </si>
  <si>
    <t>Pellets</t>
  </si>
  <si>
    <t>Wood logs</t>
  </si>
  <si>
    <t>Wood chips</t>
  </si>
  <si>
    <t>fossil fuel</t>
  </si>
  <si>
    <t>Heating system</t>
  </si>
  <si>
    <t>[resident]</t>
  </si>
  <si>
    <t>Input data: DH system</t>
  </si>
  <si>
    <t>Percentage of hot water heat demand covered by the heating system?</t>
  </si>
  <si>
    <t>Heat demad supplied by the main heating system</t>
  </si>
  <si>
    <t>Main data - overview</t>
  </si>
  <si>
    <t>Loan period</t>
  </si>
  <si>
    <t>Accumulated payments</t>
  </si>
  <si>
    <t>Year</t>
  </si>
  <si>
    <t>Installation whole "lifes" used in 20 years</t>
  </si>
  <si>
    <t>Life remaining installation (lim+ t-&gt;20)</t>
  </si>
  <si>
    <t>Boundary conditions</t>
  </si>
  <si>
    <t>DH system</t>
  </si>
  <si>
    <t>Reference systems</t>
  </si>
  <si>
    <t>Annual efficiency (heat production unit)</t>
  </si>
  <si>
    <t>Results</t>
  </si>
  <si>
    <t>Annual heat demand</t>
  </si>
  <si>
    <t>Thereof investment costs</t>
  </si>
  <si>
    <t>Effective heat cost ratio (System/DH)</t>
  </si>
  <si>
    <t>Average investment costs</t>
  </si>
  <si>
    <t>Main notes</t>
  </si>
  <si>
    <t>Short introduction</t>
  </si>
  <si>
    <t>Annuity (with subsidy)</t>
  </si>
  <si>
    <t>Annuity due to reinvestment (without subsidy)</t>
  </si>
  <si>
    <t>Notes</t>
  </si>
  <si>
    <t>Reference list</t>
  </si>
  <si>
    <t>1)</t>
  </si>
  <si>
    <t>n°</t>
  </si>
  <si>
    <t>Obernberger, I. Thek, G. Physical characterisation and chemical composition of densified biomass fuels with regard to their combustion behaviour. Biomass and Bioenergy 27 (2004)</t>
  </si>
  <si>
    <t>2)</t>
  </si>
  <si>
    <t>3)</t>
  </si>
  <si>
    <t>4)</t>
  </si>
  <si>
    <r>
      <t>[kWh/m</t>
    </r>
    <r>
      <rPr>
        <sz val="11"/>
        <color theme="1"/>
        <rFont val="Calibri"/>
        <family val="2"/>
      </rPr>
      <t>³ (loose)</t>
    </r>
    <r>
      <rPr>
        <sz val="11"/>
        <color theme="1"/>
        <rFont val="Calibri"/>
        <family val="2"/>
        <scheme val="minor"/>
      </rPr>
      <t>]</t>
    </r>
  </si>
  <si>
    <t>[EUR/m³ (loose)]</t>
  </si>
  <si>
    <t>[m³ (loose)/a]</t>
  </si>
  <si>
    <t>[USD/m³ (loose)]</t>
  </si>
  <si>
    <t>[PLN/m³ (loose)]</t>
  </si>
  <si>
    <t>[HRK/m³ (loose)]</t>
  </si>
  <si>
    <t>5)</t>
  </si>
  <si>
    <t>Landwirtschaftskammer Niederösterreich: Energieholzindex</t>
  </si>
  <si>
    <t>6)</t>
  </si>
  <si>
    <t>7)</t>
  </si>
  <si>
    <t>8)</t>
  </si>
  <si>
    <t>https://www.brennstoffe.kaufen/</t>
  </si>
  <si>
    <t>9)</t>
  </si>
  <si>
    <t>Natural gas</t>
  </si>
  <si>
    <t>10)</t>
  </si>
  <si>
    <t>11)</t>
  </si>
  <si>
    <t>Gas-Systemnutzungsentgelte-Verordnung 2013, GSNE-VO 2013, Fassung vom 15.06.2020</t>
  </si>
  <si>
    <t>12)</t>
  </si>
  <si>
    <t>https://www.heizoel24.at/charts/heizoel</t>
  </si>
  <si>
    <t>N. gas</t>
  </si>
  <si>
    <t>Fill in yellow colored cells, i.e. input cells --&gt;</t>
  </si>
  <si>
    <t>Biomass</t>
  </si>
  <si>
    <t>Fossil fuel</t>
  </si>
  <si>
    <t>Condensing boiler</t>
  </si>
  <si>
    <r>
      <t>CO</t>
    </r>
    <r>
      <rPr>
        <sz val="11"/>
        <color theme="1"/>
        <rFont val="Calibri"/>
        <family val="2"/>
      </rPr>
      <t>₂</t>
    </r>
    <r>
      <rPr>
        <sz val="11"/>
        <color theme="1"/>
        <rFont val="Calibri"/>
        <family val="2"/>
        <scheme val="minor"/>
      </rPr>
      <t xml:space="preserve"> equivalent emission factor </t>
    </r>
  </si>
  <si>
    <t xml:space="preserve">CO₂ equivalent emission factor </t>
  </si>
  <si>
    <t>13)</t>
  </si>
  <si>
    <t>14)</t>
  </si>
  <si>
    <t>ecological parametrs</t>
  </si>
  <si>
    <t>Overall system efficiency</t>
  </si>
  <si>
    <t>[t/a]</t>
  </si>
  <si>
    <t>row n° (CO2 eq. Factor)</t>
  </si>
  <si>
    <t>Heating plant effieciency</t>
  </si>
  <si>
    <t>District heating network efficiency</t>
  </si>
  <si>
    <t>CO2 eq. Factor (heating sys.)</t>
  </si>
  <si>
    <t>Natural gas boiler</t>
  </si>
  <si>
    <t>CO₂ equivalent emission factor (based on fuel mix)</t>
  </si>
  <si>
    <t>Gas. Kundeninformation und Preisblatt. Privatkunden. Energie Steiermark. 1.7.2020</t>
  </si>
  <si>
    <t>Strom. Kundeninformation und Preisblatt. Privatkunden. Energie Steiermark 1.7.2020</t>
  </si>
  <si>
    <t>Land- und Forstwirtschaftliche Erzeugerpreise. Statistik Austria</t>
  </si>
  <si>
    <t>Solid Biomass fuel parameters calculation tool v1.8. Austrian energy agency</t>
  </si>
  <si>
    <t>proPellets Austria. https://www.propellets.at/aktuelle-pelletpreise</t>
  </si>
  <si>
    <t>Fuels - Higher and Lower calorific values. The engineering ToolBox. https://www.engineeringtoolbox.com/fuels-higher-calorific-values-d_169.html</t>
  </si>
  <si>
    <t>Energiepreise im Vergleich. Energieinstitut Vorarlberg. https://www.energieinstitut.at/buerger/haustechnik-energieversorgung/energiepreise-im-vergleich/</t>
  </si>
  <si>
    <t>Erläuternde Bemerkungen OIB-RL 6. Energieeinsparung und Wärmeschutz. OIB-220.6-027/19. April 2019</t>
  </si>
  <si>
    <t>OIB-Richtlinie 6. Energieeinsparung und Wärmeschutz. OIB-330.6-026/19. April 2019</t>
  </si>
  <si>
    <r>
      <t>[kg CO</t>
    </r>
    <r>
      <rPr>
        <sz val="11"/>
        <color theme="1"/>
        <rFont val="Calibri"/>
        <family val="2"/>
      </rPr>
      <t>₂ eq. /kWh]</t>
    </r>
  </si>
  <si>
    <r>
      <t>Emissions of CO</t>
    </r>
    <r>
      <rPr>
        <sz val="11"/>
        <color theme="1"/>
        <rFont val="Calibri"/>
        <family val="2"/>
      </rPr>
      <t>₂</t>
    </r>
    <r>
      <rPr>
        <sz val="9.35"/>
        <color theme="1"/>
        <rFont val="Calibri"/>
        <family val="2"/>
      </rPr>
      <t xml:space="preserve"> </t>
    </r>
    <r>
      <rPr>
        <sz val="11"/>
        <color theme="1"/>
        <rFont val="Calibri"/>
        <family val="2"/>
      </rPr>
      <t>equivalent</t>
    </r>
  </si>
  <si>
    <r>
      <t>Savings of CO</t>
    </r>
    <r>
      <rPr>
        <sz val="11"/>
        <color theme="1"/>
        <rFont val="Calibri"/>
        <family val="2"/>
      </rPr>
      <t>₂</t>
    </r>
    <r>
      <rPr>
        <sz val="9.35"/>
        <color theme="1"/>
        <rFont val="Calibri"/>
        <family val="2"/>
      </rPr>
      <t xml:space="preserve"> </t>
    </r>
    <r>
      <rPr>
        <sz val="11"/>
        <color theme="1"/>
        <rFont val="Calibri"/>
        <family val="2"/>
      </rPr>
      <t>equivalent</t>
    </r>
  </si>
  <si>
    <t>Additional explanatory notes</t>
  </si>
  <si>
    <r>
      <t xml:space="preserve">Further economic boundary conditions are the </t>
    </r>
    <r>
      <rPr>
        <b/>
        <sz val="11"/>
        <color theme="1"/>
        <rFont val="Calibri"/>
        <family val="2"/>
        <scheme val="minor"/>
      </rPr>
      <t>available capital</t>
    </r>
    <r>
      <rPr>
        <sz val="11"/>
        <color theme="1"/>
        <rFont val="Calibri"/>
        <family val="2"/>
        <scheme val="minor"/>
      </rPr>
      <t xml:space="preserve"> for the investments (equity) and the </t>
    </r>
    <r>
      <rPr>
        <b/>
        <sz val="11"/>
        <color theme="1"/>
        <rFont val="Calibri"/>
        <family val="2"/>
        <scheme val="minor"/>
      </rPr>
      <t>loan interest rate</t>
    </r>
    <r>
      <rPr>
        <sz val="11"/>
        <color theme="1"/>
        <rFont val="Calibri"/>
        <family val="2"/>
        <scheme val="minor"/>
      </rPr>
      <t>. If an investment is necessary it is assumed that all available capital is used for the first investment. If a reinvestment is necessary (installation lifetime &lt; 20 years) the second investment is done without equity (available capital).</t>
    </r>
  </si>
  <si>
    <r>
      <t>The DH system sheet includes the necessary information to describe the costs of a DH system (from the customer point of view). The first two values (</t>
    </r>
    <r>
      <rPr>
        <b/>
        <sz val="11"/>
        <color theme="1"/>
        <rFont val="Calibri"/>
        <family val="2"/>
        <scheme val="minor"/>
      </rPr>
      <t>annual</t>
    </r>
    <r>
      <rPr>
        <sz val="11"/>
        <color theme="1"/>
        <rFont val="Calibri"/>
        <family val="2"/>
        <scheme val="minor"/>
      </rPr>
      <t xml:space="preserve"> </t>
    </r>
    <r>
      <rPr>
        <b/>
        <sz val="11"/>
        <color theme="1"/>
        <rFont val="Calibri"/>
        <family val="2"/>
        <scheme val="minor"/>
      </rPr>
      <t>heat demand</t>
    </r>
    <r>
      <rPr>
        <sz val="11"/>
        <color theme="1"/>
        <rFont val="Calibri"/>
        <family val="2"/>
        <scheme val="minor"/>
      </rPr>
      <t xml:space="preserve"> and </t>
    </r>
    <r>
      <rPr>
        <b/>
        <sz val="11"/>
        <color theme="1"/>
        <rFont val="Calibri"/>
        <family val="2"/>
        <scheme val="minor"/>
      </rPr>
      <t>heat capacity demand</t>
    </r>
    <r>
      <rPr>
        <sz val="11"/>
        <color theme="1"/>
        <rFont val="Calibri"/>
        <family val="2"/>
        <scheme val="minor"/>
      </rPr>
      <t xml:space="preserve">) are the main technical boundary conditions. The </t>
    </r>
    <r>
      <rPr>
        <b/>
        <sz val="11"/>
        <color theme="1"/>
        <rFont val="Calibri"/>
        <family val="2"/>
        <scheme val="minor"/>
      </rPr>
      <t>fuel mix</t>
    </r>
    <r>
      <rPr>
        <sz val="11"/>
        <color theme="1"/>
        <rFont val="Calibri"/>
        <family val="2"/>
        <scheme val="minor"/>
      </rPr>
      <t xml:space="preserve"> includes information on the fuel types being used in the DH system and are included merely for information purposes.
</t>
    </r>
    <r>
      <rPr>
        <b/>
        <sz val="11"/>
        <color theme="1"/>
        <rFont val="Calibri"/>
        <family val="2"/>
        <scheme val="minor"/>
      </rPr>
      <t>Basic</t>
    </r>
    <r>
      <rPr>
        <sz val="11"/>
        <color theme="1"/>
        <rFont val="Calibri"/>
        <family val="2"/>
        <scheme val="minor"/>
      </rPr>
      <t xml:space="preserve">, </t>
    </r>
    <r>
      <rPr>
        <b/>
        <sz val="11"/>
        <color theme="1"/>
        <rFont val="Calibri"/>
        <family val="2"/>
        <scheme val="minor"/>
      </rPr>
      <t>meter</t>
    </r>
    <r>
      <rPr>
        <sz val="11"/>
        <color theme="1"/>
        <rFont val="Calibri"/>
        <family val="2"/>
        <scheme val="minor"/>
      </rPr>
      <t xml:space="preserve"> and </t>
    </r>
    <r>
      <rPr>
        <b/>
        <sz val="11"/>
        <color theme="1"/>
        <rFont val="Calibri"/>
        <family val="2"/>
        <scheme val="minor"/>
      </rPr>
      <t>energy charge</t>
    </r>
    <r>
      <rPr>
        <sz val="11"/>
        <color theme="1"/>
        <rFont val="Calibri"/>
        <family val="2"/>
        <scheme val="minor"/>
      </rPr>
      <t xml:space="preserve">: These three parameters can be used to define a heat supply contract. Notice that the </t>
    </r>
    <r>
      <rPr>
        <b/>
        <sz val="11"/>
        <color theme="1"/>
        <rFont val="Calibri"/>
        <family val="2"/>
        <scheme val="minor"/>
      </rPr>
      <t>energy charge</t>
    </r>
    <r>
      <rPr>
        <sz val="11"/>
        <color theme="1"/>
        <rFont val="Calibri"/>
        <family val="2"/>
        <scheme val="minor"/>
      </rPr>
      <t xml:space="preserve"> is related to the payment per amount of heat supplied, i.e. delivered by the heat transfer station, and that efficiencies of the heat production units and heating transport network are already being considered. Analogously to the heating system, it is possible to define </t>
    </r>
    <r>
      <rPr>
        <b/>
        <sz val="11"/>
        <color theme="1"/>
        <rFont val="Calibri"/>
        <family val="2"/>
        <scheme val="minor"/>
      </rPr>
      <t>additional costs</t>
    </r>
    <r>
      <rPr>
        <sz val="11"/>
        <color theme="1"/>
        <rFont val="Calibri"/>
        <family val="2"/>
        <scheme val="minor"/>
      </rPr>
      <t xml:space="preserve"> that might not already been included in the other positions. 
</t>
    </r>
    <r>
      <rPr>
        <b/>
        <sz val="11"/>
        <color theme="1"/>
        <rFont val="Calibri"/>
        <family val="2"/>
        <scheme val="minor"/>
      </rPr>
      <t>Ecological parameters</t>
    </r>
    <r>
      <rPr>
        <sz val="11"/>
        <color theme="1"/>
        <rFont val="Calibri"/>
        <family val="2"/>
        <scheme val="minor"/>
      </rPr>
      <t>: The CO</t>
    </r>
    <r>
      <rPr>
        <sz val="11"/>
        <color theme="1"/>
        <rFont val="Calibri"/>
        <family val="2"/>
      </rPr>
      <t>₂</t>
    </r>
    <r>
      <rPr>
        <sz val="11"/>
        <color theme="1"/>
        <rFont val="Calibri"/>
        <family val="2"/>
        <scheme val="minor"/>
      </rPr>
      <t xml:space="preserve"> equivalent emission factor is used for the ecological evaluation of the system. The factor is referred to the energy (fuel) consumption. For that reason, it is necessary to include the </t>
    </r>
    <r>
      <rPr>
        <b/>
        <sz val="11"/>
        <color theme="1"/>
        <rFont val="Calibri"/>
        <family val="2"/>
        <scheme val="minor"/>
      </rPr>
      <t>heating plant</t>
    </r>
    <r>
      <rPr>
        <sz val="11"/>
        <color theme="1"/>
        <rFont val="Calibri"/>
        <family val="2"/>
        <scheme val="minor"/>
      </rPr>
      <t xml:space="preserve"> and </t>
    </r>
    <r>
      <rPr>
        <b/>
        <sz val="11"/>
        <color theme="1"/>
        <rFont val="Calibri"/>
        <family val="2"/>
        <scheme val="minor"/>
      </rPr>
      <t>district heating network efficiency</t>
    </r>
    <r>
      <rPr>
        <sz val="11"/>
        <color theme="1"/>
        <rFont val="Calibri"/>
        <family val="2"/>
        <scheme val="minor"/>
      </rPr>
      <t xml:space="preserve">.
</t>
    </r>
  </si>
  <si>
    <t>On the right side, the following relevant parameters for the economic evaluation of the system have to be defined:</t>
  </si>
  <si>
    <r>
      <t xml:space="preserve">The </t>
    </r>
    <r>
      <rPr>
        <b/>
        <sz val="11"/>
        <color theme="1"/>
        <rFont val="Calibri"/>
        <family val="2"/>
        <scheme val="minor"/>
      </rPr>
      <t>reference systems</t>
    </r>
    <r>
      <rPr>
        <sz val="11"/>
        <color theme="1"/>
        <rFont val="Calibri"/>
        <family val="2"/>
        <scheme val="minor"/>
      </rPr>
      <t xml:space="preserve"> are a set of ten "typical" heating systems. The same inputs presented in "</t>
    </r>
    <r>
      <rPr>
        <b/>
        <sz val="11"/>
        <color theme="1"/>
        <rFont val="Calibri"/>
        <family val="2"/>
        <scheme val="minor"/>
      </rPr>
      <t>Heating system</t>
    </r>
    <r>
      <rPr>
        <sz val="11"/>
        <color theme="1"/>
        <rFont val="Calibri"/>
        <family val="2"/>
        <scheme val="minor"/>
      </rPr>
      <t>" and "</t>
    </r>
    <r>
      <rPr>
        <b/>
        <sz val="11"/>
        <color theme="1"/>
        <rFont val="Calibri"/>
        <family val="2"/>
        <scheme val="minor"/>
      </rPr>
      <t>DH system</t>
    </r>
    <r>
      <rPr>
        <sz val="11"/>
        <color theme="1"/>
        <rFont val="Calibri"/>
        <family val="2"/>
        <scheme val="minor"/>
      </rPr>
      <t xml:space="preserve">" are here used. However, some of them, such as </t>
    </r>
    <r>
      <rPr>
        <b/>
        <sz val="11"/>
        <color theme="1"/>
        <rFont val="Calibri"/>
        <family val="2"/>
        <scheme val="minor"/>
      </rPr>
      <t>fuel mix</t>
    </r>
    <r>
      <rPr>
        <sz val="11"/>
        <color theme="1"/>
        <rFont val="Calibri"/>
        <family val="2"/>
        <scheme val="minor"/>
      </rPr>
      <t xml:space="preserve"> and </t>
    </r>
    <r>
      <rPr>
        <b/>
        <sz val="11"/>
        <color theme="1"/>
        <rFont val="Calibri"/>
        <family val="2"/>
        <scheme val="minor"/>
      </rPr>
      <t>energy charge</t>
    </r>
    <r>
      <rPr>
        <sz val="11"/>
        <color theme="1"/>
        <rFont val="Calibri"/>
        <family val="2"/>
        <scheme val="minor"/>
      </rPr>
      <t xml:space="preserve"> are predefined and should not be changed (except in the case of the condensing boiler, where the fuel mix can be adapted). The </t>
    </r>
    <r>
      <rPr>
        <b/>
        <sz val="11"/>
        <color theme="1"/>
        <rFont val="Calibri"/>
        <family val="2"/>
        <scheme val="minor"/>
      </rPr>
      <t>energy charge</t>
    </r>
    <r>
      <rPr>
        <sz val="11"/>
        <color theme="1"/>
        <rFont val="Calibri"/>
        <family val="2"/>
        <scheme val="minor"/>
      </rPr>
      <t xml:space="preserve"> is derived from the previously defined boundary conditions and the fuel mix.
Further inputs to be introduced are:</t>
    </r>
  </si>
  <si>
    <t>In order to achieve a fair comparison, the "states" of al heating systems have to be the same at the beginning and end of the considered period of time (as mentioned above, the tool considers a period of 20 years). In this regard:</t>
  </si>
  <si>
    <t>Currency</t>
  </si>
  <si>
    <t xml:space="preserve">A net heating value for a specific wood mix can be calculated based using the excel tool published in 3). Exemplary value 893 kWh/m³ corresponds to "Pine" and "wood chips" assortment with 30 % moisture content.
The CO₂ equivalent emission factor is assumed to be 10 g/kWh as given in 13). </t>
  </si>
  <si>
    <t>(heating oil)</t>
  </si>
  <si>
    <t>(supply mix)</t>
  </si>
  <si>
    <t>Log wood boiler</t>
  </si>
  <si>
    <t>Annual heat demand and heat capacity demand are equal for all heating systems. These values are defined in the "Heating system" sheet.</t>
  </si>
  <si>
    <t>Heat capacity installed (heat capacity demand)</t>
  </si>
  <si>
    <t>Annual heat demand (delivered)</t>
  </si>
  <si>
    <t>[h/a]</t>
  </si>
  <si>
    <t>Wood chips boiler</t>
  </si>
  <si>
    <t>This Excel tool is divided in several sheets. From left to right: "Boundary conditions, "Heating system", "DH system" "Reference systems" and "Results"</t>
  </si>
  <si>
    <r>
      <t xml:space="preserve">The aim of the </t>
    </r>
    <r>
      <rPr>
        <i/>
        <sz val="11"/>
        <color theme="1"/>
        <rFont val="Calibri"/>
        <family val="2"/>
        <scheme val="minor"/>
      </rPr>
      <t>CostComparison</t>
    </r>
    <r>
      <rPr>
        <sz val="11"/>
        <color theme="1"/>
        <rFont val="Calibri"/>
        <family val="2"/>
        <scheme val="minor"/>
      </rPr>
      <t xml:space="preserve"> Excel tool is to provide an overview of estimated mean annual heating costs of different heat supply technologies (an operation period of 20 years is considered). This information is valuable for heat consumers who can compare their own with other possible heating systems and for district heating (DH) suppliers for the comparison of heat tariffs regarding competitiveness. Furthermore, the tool can be used to calculate CO</t>
    </r>
    <r>
      <rPr>
        <sz val="11"/>
        <color theme="1"/>
        <rFont val="Calibri"/>
        <family val="2"/>
      </rPr>
      <t>₂</t>
    </r>
    <r>
      <rPr>
        <sz val="11"/>
        <color theme="1"/>
        <rFont val="Calibri"/>
        <family val="2"/>
        <scheme val="minor"/>
      </rPr>
      <t xml:space="preserve"> equivalent emissions. 
The approach of the tool is not to calculate accurate values for the heating costs due to the complexity and individual technological conditions of the different heating technologies. On the contrary the different systems are considered in a simplified way in order to provide a quick possiblity for comparison based on estimated values. Therefore, the calculated results have to be evaluated carefully considering the local boundary conditions given, the assumptions made for the input data and the general simplification approach of the tool.</t>
    </r>
  </si>
  <si>
    <r>
      <t xml:space="preserve">The currency shown in in the tables and graphs can be easily change by choosing one of the predefined currencies (EUR, USD, PLN or HRK).  </t>
    </r>
    <r>
      <rPr>
        <sz val="11"/>
        <color rgb="FFFF0000"/>
        <rFont val="Calibri"/>
        <family val="2"/>
        <scheme val="minor"/>
      </rPr>
      <t>This option is merely added to facilitate the use of this tools in other regions rather than the Euro area. Notice that, values within excel are dimensionless (any change on the currency will not affect them), thus values have to be manually adapted after "currency used" is changed.</t>
    </r>
  </si>
  <si>
    <r>
      <t xml:space="preserve">- </t>
    </r>
    <r>
      <rPr>
        <b/>
        <sz val="11"/>
        <color theme="1"/>
        <rFont val="Calibri"/>
        <family val="2"/>
        <scheme val="minor"/>
      </rPr>
      <t>Installation lifetime</t>
    </r>
    <r>
      <rPr>
        <sz val="11"/>
        <color theme="1"/>
        <rFont val="Calibri"/>
        <family val="2"/>
        <scheme val="minor"/>
      </rPr>
      <t xml:space="preserve">: The installation lifetime is an average value for the whole installation. A fair approach is to consider the main (costly) equipment. After the end of the lifetime a reinvestment equal to the investment (without subsidies) will be necessary.
- </t>
    </r>
    <r>
      <rPr>
        <b/>
        <sz val="11"/>
        <color theme="1"/>
        <rFont val="Calibri"/>
        <family val="2"/>
        <scheme val="minor"/>
      </rPr>
      <t>Basic</t>
    </r>
    <r>
      <rPr>
        <sz val="11"/>
        <color theme="1"/>
        <rFont val="Calibri"/>
        <family val="2"/>
        <scheme val="minor"/>
      </rPr>
      <t xml:space="preserve">, </t>
    </r>
    <r>
      <rPr>
        <b/>
        <sz val="11"/>
        <color theme="1"/>
        <rFont val="Calibri"/>
        <family val="2"/>
        <scheme val="minor"/>
      </rPr>
      <t>meter</t>
    </r>
    <r>
      <rPr>
        <sz val="11"/>
        <color theme="1"/>
        <rFont val="Calibri"/>
        <family val="2"/>
        <scheme val="minor"/>
      </rPr>
      <t xml:space="preserve"> and </t>
    </r>
    <r>
      <rPr>
        <b/>
        <sz val="11"/>
        <color theme="1"/>
        <rFont val="Calibri"/>
        <family val="2"/>
        <scheme val="minor"/>
      </rPr>
      <t>energy</t>
    </r>
    <r>
      <rPr>
        <sz val="11"/>
        <color theme="1"/>
        <rFont val="Calibri"/>
        <family val="2"/>
        <scheme val="minor"/>
      </rPr>
      <t xml:space="preserve"> </t>
    </r>
    <r>
      <rPr>
        <b/>
        <sz val="11"/>
        <color theme="1"/>
        <rFont val="Calibri"/>
        <family val="2"/>
        <scheme val="minor"/>
      </rPr>
      <t>charge</t>
    </r>
    <r>
      <rPr>
        <sz val="11"/>
        <color theme="1"/>
        <rFont val="Calibri"/>
        <family val="2"/>
        <scheme val="minor"/>
      </rPr>
      <t xml:space="preserve">: </t>
    </r>
    <r>
      <rPr>
        <b/>
        <sz val="11"/>
        <color theme="1"/>
        <rFont val="Calibri"/>
        <family val="2"/>
        <scheme val="minor"/>
      </rPr>
      <t>Basic</t>
    </r>
    <r>
      <rPr>
        <sz val="11"/>
        <color theme="1"/>
        <rFont val="Calibri"/>
        <family val="2"/>
        <scheme val="minor"/>
      </rPr>
      <t xml:space="preserve"> and </t>
    </r>
    <r>
      <rPr>
        <b/>
        <sz val="11"/>
        <color theme="1"/>
        <rFont val="Calibri"/>
        <family val="2"/>
        <scheme val="minor"/>
      </rPr>
      <t>meter charge</t>
    </r>
    <r>
      <rPr>
        <sz val="11"/>
        <color theme="1"/>
        <rFont val="Calibri"/>
        <family val="2"/>
        <scheme val="minor"/>
      </rPr>
      <t xml:space="preserve"> are only relevant when a contract with an external energy supply is necessary, e.g. electrical driven heat production units are being used. In this case only a part of the basic and meter charge (electricity contract) should be allocated to the heating system. The </t>
    </r>
    <r>
      <rPr>
        <b/>
        <sz val="11"/>
        <color theme="1"/>
        <rFont val="Calibri"/>
        <family val="2"/>
        <scheme val="minor"/>
      </rPr>
      <t>energy charge</t>
    </r>
    <r>
      <rPr>
        <sz val="11"/>
        <color theme="1"/>
        <rFont val="Calibri"/>
        <family val="2"/>
        <scheme val="minor"/>
      </rPr>
      <t xml:space="preserve"> is in any case relevant. Next to the input cell information is given of the heat price for the selected fuel type. The value is not directly taken to allow local (customer specific) boundary conditions to be easily included.
- Necessary investment: The </t>
    </r>
    <r>
      <rPr>
        <b/>
        <sz val="11"/>
        <color theme="1"/>
        <rFont val="Calibri"/>
        <family val="2"/>
        <scheme val="minor"/>
      </rPr>
      <t xml:space="preserve">investment </t>
    </r>
    <r>
      <rPr>
        <sz val="11"/>
        <color theme="1"/>
        <rFont val="Calibri"/>
        <family val="2"/>
        <scheme val="minor"/>
      </rPr>
      <t>(</t>
    </r>
    <r>
      <rPr>
        <b/>
        <sz val="11"/>
        <color theme="1"/>
        <rFont val="Calibri"/>
        <family val="2"/>
        <scheme val="minor"/>
      </rPr>
      <t>without subsidy</t>
    </r>
    <r>
      <rPr>
        <sz val="11"/>
        <color theme="1"/>
        <rFont val="Calibri"/>
        <family val="2"/>
        <scheme val="minor"/>
      </rPr>
      <t xml:space="preserve">) is the necessary investment to be done for this specific technology. Assumed a percentage of </t>
    </r>
    <r>
      <rPr>
        <b/>
        <sz val="11"/>
        <color theme="1"/>
        <rFont val="Calibri"/>
        <family val="2"/>
        <scheme val="minor"/>
      </rPr>
      <t>subsidy</t>
    </r>
    <r>
      <rPr>
        <sz val="11"/>
        <color theme="1"/>
        <rFont val="Calibri"/>
        <family val="2"/>
        <scheme val="minor"/>
      </rPr>
      <t xml:space="preserve"> and based on the defined available capital (</t>
    </r>
    <r>
      <rPr>
        <b/>
        <sz val="11"/>
        <color theme="1"/>
        <rFont val="Calibri"/>
        <family val="2"/>
        <scheme val="minor"/>
      </rPr>
      <t>equity</t>
    </r>
    <r>
      <rPr>
        <sz val="11"/>
        <color theme="1"/>
        <rFont val="Calibri"/>
        <family val="2"/>
        <scheme val="minor"/>
      </rPr>
      <t>) in the previous sheet the intermediate result "</t>
    </r>
    <r>
      <rPr>
        <b/>
        <sz val="11"/>
        <color theme="1"/>
        <rFont val="Calibri"/>
        <family val="2"/>
        <scheme val="minor"/>
      </rPr>
      <t>Invest to be financed</t>
    </r>
    <r>
      <rPr>
        <sz val="11"/>
        <color theme="1"/>
        <rFont val="Calibri"/>
        <family val="2"/>
        <scheme val="minor"/>
      </rPr>
      <t xml:space="preserve">" is obtained. If an investment is to be financed, it is necessary to specify the </t>
    </r>
    <r>
      <rPr>
        <b/>
        <sz val="11"/>
        <color theme="1"/>
        <rFont val="Calibri"/>
        <family val="2"/>
        <scheme val="minor"/>
      </rPr>
      <t>loan period</t>
    </r>
    <r>
      <rPr>
        <sz val="11"/>
        <color theme="1"/>
        <rFont val="Calibri"/>
        <family val="2"/>
        <scheme val="minor"/>
      </rPr>
      <t xml:space="preserve"> for it (loan interest rate was already defined in the "Boundary conditions" sheet).
- </t>
    </r>
    <r>
      <rPr>
        <b/>
        <sz val="11"/>
        <color theme="1"/>
        <rFont val="Calibri"/>
        <family val="2"/>
        <scheme val="minor"/>
      </rPr>
      <t>Additional costs</t>
    </r>
    <r>
      <rPr>
        <sz val="11"/>
        <color theme="1"/>
        <rFont val="Calibri"/>
        <family val="2"/>
        <scheme val="minor"/>
      </rPr>
      <t xml:space="preserve">: It Allows the consideration of periodic costs different than the investment or basic, meter and energy charge (i.e. contract related costs). E.g. Costs of a five annual gas connection safety check.
 </t>
    </r>
  </si>
  <si>
    <r>
      <rPr>
        <b/>
        <sz val="11"/>
        <color theme="1"/>
        <rFont val="Calibri"/>
        <family val="2"/>
        <scheme val="minor"/>
      </rPr>
      <t>Installation lifetime</t>
    </r>
    <r>
      <rPr>
        <sz val="11"/>
        <color theme="1"/>
        <rFont val="Calibri"/>
        <family val="2"/>
        <scheme val="minor"/>
      </rPr>
      <t xml:space="preserve"> (it refers to the time in years that the heating systems need a reinvestment equal to the initial investment)
</t>
    </r>
    <r>
      <rPr>
        <b/>
        <sz val="11"/>
        <color theme="1"/>
        <rFont val="Calibri"/>
        <family val="2"/>
        <scheme val="minor"/>
      </rPr>
      <t>Annual efficiency</t>
    </r>
    <r>
      <rPr>
        <sz val="11"/>
        <color theme="1"/>
        <rFont val="Calibri"/>
        <family val="2"/>
        <scheme val="minor"/>
      </rPr>
      <t xml:space="preserve"> (of the heat production unit)
</t>
    </r>
    <r>
      <rPr>
        <b/>
        <sz val="11"/>
        <color theme="1"/>
        <rFont val="Calibri"/>
        <family val="2"/>
        <scheme val="minor"/>
      </rPr>
      <t>Economic parameters</t>
    </r>
    <r>
      <rPr>
        <sz val="11"/>
        <color theme="1"/>
        <rFont val="Calibri"/>
        <family val="2"/>
        <scheme val="minor"/>
      </rPr>
      <t xml:space="preserve"> such as </t>
    </r>
    <r>
      <rPr>
        <b/>
        <sz val="11"/>
        <color theme="1"/>
        <rFont val="Calibri"/>
        <family val="2"/>
        <scheme val="minor"/>
      </rPr>
      <t>basic</t>
    </r>
    <r>
      <rPr>
        <sz val="11"/>
        <color theme="1"/>
        <rFont val="Calibri"/>
        <family val="2"/>
        <scheme val="minor"/>
      </rPr>
      <t xml:space="preserve"> and </t>
    </r>
    <r>
      <rPr>
        <b/>
        <sz val="11"/>
        <color theme="1"/>
        <rFont val="Calibri"/>
        <family val="2"/>
        <scheme val="minor"/>
      </rPr>
      <t>meter charge</t>
    </r>
    <r>
      <rPr>
        <sz val="11"/>
        <color theme="1"/>
        <rFont val="Calibri"/>
        <family val="2"/>
        <scheme val="minor"/>
      </rPr>
      <t xml:space="preserve">, </t>
    </r>
    <r>
      <rPr>
        <b/>
        <sz val="11"/>
        <color theme="1"/>
        <rFont val="Calibri"/>
        <family val="2"/>
        <scheme val="minor"/>
      </rPr>
      <t>investment</t>
    </r>
    <r>
      <rPr>
        <sz val="11"/>
        <color theme="1"/>
        <rFont val="Calibri"/>
        <family val="2"/>
        <scheme val="minor"/>
      </rPr>
      <t xml:space="preserve">, per centage finances via </t>
    </r>
    <r>
      <rPr>
        <b/>
        <sz val="11"/>
        <color theme="1"/>
        <rFont val="Calibri"/>
        <family val="2"/>
        <scheme val="minor"/>
      </rPr>
      <t>subsidy</t>
    </r>
    <r>
      <rPr>
        <sz val="11"/>
        <color theme="1"/>
        <rFont val="Calibri"/>
        <family val="2"/>
        <scheme val="minor"/>
      </rPr>
      <t xml:space="preserve">, </t>
    </r>
    <r>
      <rPr>
        <b/>
        <sz val="11"/>
        <color theme="1"/>
        <rFont val="Calibri"/>
        <family val="2"/>
        <scheme val="minor"/>
      </rPr>
      <t>loan period</t>
    </r>
    <r>
      <rPr>
        <sz val="11"/>
        <color theme="1"/>
        <rFont val="Calibri"/>
        <family val="2"/>
        <scheme val="minor"/>
      </rPr>
      <t xml:space="preserve"> and possible </t>
    </r>
    <r>
      <rPr>
        <b/>
        <sz val="11"/>
        <color theme="1"/>
        <rFont val="Calibri"/>
        <family val="2"/>
        <scheme val="minor"/>
      </rPr>
      <t>additional costs</t>
    </r>
    <r>
      <rPr>
        <sz val="11"/>
        <color theme="1"/>
        <rFont val="Calibri"/>
        <family val="2"/>
        <scheme val="minor"/>
      </rPr>
      <t xml:space="preserve">.
</t>
    </r>
    <r>
      <rPr>
        <b/>
        <sz val="11"/>
        <color theme="1"/>
        <rFont val="Calibri"/>
        <family val="2"/>
        <scheme val="minor"/>
      </rPr>
      <t>CO</t>
    </r>
    <r>
      <rPr>
        <b/>
        <sz val="11"/>
        <color theme="1"/>
        <rFont val="Calibri"/>
        <family val="2"/>
      </rPr>
      <t>₂</t>
    </r>
    <r>
      <rPr>
        <b/>
        <sz val="11"/>
        <color theme="1"/>
        <rFont val="Calibri"/>
        <family val="2"/>
        <scheme val="minor"/>
      </rPr>
      <t xml:space="preserve"> equivalent emission factor</t>
    </r>
    <r>
      <rPr>
        <sz val="11"/>
        <color theme="1"/>
        <rFont val="Calibri"/>
        <family val="2"/>
        <scheme val="minor"/>
      </rPr>
      <t>. The value is derived based on the fuel mix and the values introduced in the boundary conditions sheet.</t>
    </r>
  </si>
  <si>
    <t xml:space="preserve">All technical solutions use the same amount of available capital to finance the investment with exception of the case where the required investment is lower than the available capital (equity is enough and there is no need for a loan).
At year 20 (last year being considered) the remaining payments and residual value of the installation are considered as follows.
- The remaining annual payments are paid (no discount is here applied, i.e. interest are also paied)
- The installation is "sold" assuming its sell price equals its residual value. To calculate the residual value, we assume that the installation (equal to the investment without subsidy) decrease its value linearly along its lifetime. I.e., if a component at half of its lifetime, the component is still half of its value worth. </t>
  </si>
  <si>
    <t>Additional costs III</t>
  </si>
  <si>
    <r>
      <t>Based on the introduced data in the different sheets ("</t>
    </r>
    <r>
      <rPr>
        <b/>
        <sz val="11"/>
        <color theme="1"/>
        <rFont val="Calibri"/>
        <family val="2"/>
        <scheme val="minor"/>
      </rPr>
      <t>Boundary conditions</t>
    </r>
    <r>
      <rPr>
        <sz val="11"/>
        <color theme="1"/>
        <rFont val="Calibri"/>
        <family val="2"/>
        <scheme val="minor"/>
      </rPr>
      <t>", "</t>
    </r>
    <r>
      <rPr>
        <b/>
        <sz val="11"/>
        <color theme="1"/>
        <rFont val="Calibri"/>
        <family val="2"/>
        <scheme val="minor"/>
      </rPr>
      <t>Heating system</t>
    </r>
    <r>
      <rPr>
        <sz val="11"/>
        <color theme="1"/>
        <rFont val="Calibri"/>
        <family val="2"/>
        <scheme val="minor"/>
      </rPr>
      <t>", "</t>
    </r>
    <r>
      <rPr>
        <b/>
        <sz val="11"/>
        <color theme="1"/>
        <rFont val="Calibri"/>
        <family val="2"/>
        <scheme val="minor"/>
      </rPr>
      <t>DH system</t>
    </r>
    <r>
      <rPr>
        <sz val="11"/>
        <color theme="1"/>
        <rFont val="Calibri"/>
        <family val="2"/>
        <scheme val="minor"/>
      </rPr>
      <t>" and "</t>
    </r>
    <r>
      <rPr>
        <b/>
        <sz val="11"/>
        <color theme="1"/>
        <rFont val="Calibri"/>
        <family val="2"/>
        <scheme val="minor"/>
      </rPr>
      <t>Reference systems</t>
    </r>
    <r>
      <rPr>
        <sz val="11"/>
        <color theme="1"/>
        <rFont val="Calibri"/>
        <family val="2"/>
        <scheme val="minor"/>
      </rPr>
      <t xml:space="preserve">") the annual heating costs of each heat supply technology can be calculated. This is the sum of fixed and variable costs. These values are included as absolute and percentage values.
- </t>
    </r>
    <r>
      <rPr>
        <b/>
        <sz val="11"/>
        <color theme="1"/>
        <rFont val="Calibri"/>
        <family val="2"/>
        <scheme val="minor"/>
      </rPr>
      <t>Variable costs</t>
    </r>
    <r>
      <rPr>
        <sz val="11"/>
        <color theme="1"/>
        <rFont val="Calibri"/>
        <family val="2"/>
        <scheme val="minor"/>
      </rPr>
      <t xml:space="preserve"> include the consumption dependent costs, which are expected to be dominated by the fuel costs (cost of the purchased heat in the DH system case). However other costs such as grid use (in EUR/kWh) defined in the Additional costs II position are also included here.
- </t>
    </r>
    <r>
      <rPr>
        <b/>
        <sz val="11"/>
        <color theme="1"/>
        <rFont val="Calibri"/>
        <family val="2"/>
        <scheme val="minor"/>
      </rPr>
      <t>Fixed costs</t>
    </r>
    <r>
      <rPr>
        <sz val="11"/>
        <color theme="1"/>
        <rFont val="Calibri"/>
        <family val="2"/>
        <scheme val="minor"/>
      </rPr>
      <t xml:space="preserve"> include all other costs, i.e. investment costs, maintenance costs, basic and meter charge and any additional costs (if defined). The most relevant fixed costs will be in most of the cases the investment costs. Thus, an additional row "</t>
    </r>
    <r>
      <rPr>
        <b/>
        <sz val="11"/>
        <color theme="1"/>
        <rFont val="Calibri"/>
        <family val="2"/>
        <scheme val="minor"/>
      </rPr>
      <t>thereof investment costs</t>
    </r>
    <r>
      <rPr>
        <sz val="11"/>
        <color theme="1"/>
        <rFont val="Calibri"/>
        <family val="2"/>
        <scheme val="minor"/>
      </rPr>
      <t xml:space="preserve">" specifies an average value of the annual investment costs (annuity).
Based on the calculated annual heat costs and the heat supplied, the </t>
    </r>
    <r>
      <rPr>
        <b/>
        <sz val="11"/>
        <color theme="1"/>
        <rFont val="Calibri"/>
        <family val="2"/>
        <scheme val="minor"/>
      </rPr>
      <t>effective heat costs</t>
    </r>
    <r>
      <rPr>
        <sz val="11"/>
        <color theme="1"/>
        <rFont val="Calibri"/>
        <family val="2"/>
        <scheme val="minor"/>
      </rPr>
      <t xml:space="preserve"> are calculated. Furthermore, the results table includes the </t>
    </r>
    <r>
      <rPr>
        <b/>
        <sz val="11"/>
        <color theme="1"/>
        <rFont val="Calibri"/>
        <family val="2"/>
        <scheme val="minor"/>
      </rPr>
      <t>effective heat cost ratio</t>
    </r>
    <r>
      <rPr>
        <sz val="11"/>
        <color theme="1"/>
        <rFont val="Calibri"/>
        <family val="2"/>
        <scheme val="minor"/>
      </rPr>
      <t xml:space="preserve"> defined as the deviation of the effective heat costs in percentage using the DH system as a reference (i.e. 100 %). 
Additionally, the annual emission von CO</t>
    </r>
    <r>
      <rPr>
        <sz val="11"/>
        <color theme="1"/>
        <rFont val="Calibri"/>
        <family val="2"/>
      </rPr>
      <t>₂</t>
    </r>
    <r>
      <rPr>
        <sz val="11"/>
        <color theme="1"/>
        <rFont val="Calibri"/>
        <family val="2"/>
        <scheme val="minor"/>
      </rPr>
      <t xml:space="preserve"> equivalent in tons per year are also calculated.
Part of the obtained results shown in table are also presented in two different diagrams. </t>
    </r>
  </si>
  <si>
    <t>If the DH connection have to be paid by the customer (e.g. no subsidies for it). It can be introduced here as a yearly payment dependent on the installed capacity. Notice that these entries are not one time payments but yearly disbursements. We assume there are no additional costs.</t>
  </si>
  <si>
    <t>Notice that the energy charge refers to amount of heat purchased and not the fuel net heating value.</t>
  </si>
  <si>
    <t>Fuel mix data is only for information purposes. For the ecological evaluation extra parameters have to be defined.</t>
  </si>
  <si>
    <t>Biomass (wood chips)</t>
  </si>
  <si>
    <t>Biomass (log wood)</t>
  </si>
  <si>
    <t xml:space="preserve"> </t>
  </si>
  <si>
    <t>This excel-tool was developed as part of the Interreg Central Europe project ENTRAIN: ENhancing renewable heaT planning for improving the aiR quAlity of commuNities.</t>
  </si>
  <si>
    <r>
      <t>The Austrian energy agency suggests in 3) values for the net heating value of 5.27 and 4.8 kWh/kg for dry and fresh matter respectively (8 % moisture content is assumed). In 1) 21 wood pellet samples of different countries were analyzed. Obtained minimum, maximum and average net heating values were 5.167, 5.389 and 5.278 kWh/kg respectively.
In 2) a pellets price index from January 2006 onwards for Austria can be found. According to 2) the pellets price in Austria have been varying from year to year (in average for the last 5 and 10 years) in 0,3 and 1,6 % respectively. 
In 8) 2925 kg pellets (5,3 kWh/kg) cost around 900 EUR (gross price - incl. Transport) i.e. 0.058 EUR/kWh (</t>
    </r>
    <r>
      <rPr>
        <sz val="11"/>
        <color theme="1"/>
        <rFont val="Calibri"/>
        <family val="2"/>
      </rPr>
      <t xml:space="preserve">≈ </t>
    </r>
    <r>
      <rPr>
        <sz val="11"/>
        <color theme="1"/>
        <rFont val="Calibri"/>
        <family val="2"/>
        <scheme val="minor"/>
      </rPr>
      <t>0.048 EUR/kWh net).
The CO</t>
    </r>
    <r>
      <rPr>
        <sz val="11"/>
        <color theme="1"/>
        <rFont val="Calibri"/>
        <family val="2"/>
      </rPr>
      <t>₂</t>
    </r>
    <r>
      <rPr>
        <sz val="11"/>
        <color theme="1"/>
        <rFont val="Calibri"/>
        <family val="2"/>
        <scheme val="minor"/>
      </rPr>
      <t xml:space="preserve"> equivalent emission factor is assumed to be 40 g/kWh as given in 13).</t>
    </r>
  </si>
  <si>
    <r>
      <t>A net heating value for a specific wood mix can be calculated based using the excel tool published in 3). Exemplary value 1116 kWh/m</t>
    </r>
    <r>
      <rPr>
        <sz val="11"/>
        <color theme="1"/>
        <rFont val="Calibri"/>
        <family val="2"/>
      </rPr>
      <t>³</t>
    </r>
    <r>
      <rPr>
        <sz val="11"/>
        <color theme="1"/>
        <rFont val="Calibri"/>
        <family val="2"/>
        <scheme val="minor"/>
      </rPr>
      <t xml:space="preserve"> corresponds to "Pine" and "firewood (loose)" assortment with 30 % moisture content.
Actual and historic values for Austria can be retrieved from 4). Exemplary value corresponds to the product "Brennholz, weich" i.e. softwood.
The CO₂ equivalent emission factor is assumed to be 10 g/kWh as given in 13) (for log wood in 30 kW combustion system).</t>
    </r>
  </si>
  <si>
    <r>
      <t>The natural gas is a mixture of gases, with Methane as the predominant gas. Its net heating value is according to 11) 11.33 kWh/m</t>
    </r>
    <r>
      <rPr>
        <vertAlign val="superscript"/>
        <sz val="11"/>
        <color theme="1"/>
        <rFont val="Calibri"/>
        <family val="2"/>
        <scheme val="minor"/>
      </rPr>
      <t>3</t>
    </r>
    <r>
      <rPr>
        <sz val="11"/>
        <color theme="1"/>
        <rFont val="Calibri"/>
        <family val="2"/>
        <scheme val="minor"/>
      </rPr>
      <t xml:space="preserve"> in "Marktgebiet Ost".
Based on 9) gas tariff "SteirerKOMFORT" for private consumers with a gas demand up to 100000 kWh/a the energy net and gross price is respectively 0.028 and 0.0336 EUR/kWh. Further costs are the flat rate and the grid costs. The sum of these values is in net and gross 86 and 102 EUR/a respectively (These have to be considered in the input cell "basic charge"). Furtheremore it is necessary to include a variabel price of 2 Cent/kWh (net) for grid costs. This value is included in the additional costs sections (additional costs II entry) in EUR/kWh. If prefered it can be considered directly here.
The CO₂ equivalent emission factor is assumed to be 247 g/kWh as given in 14). </t>
    </r>
  </si>
  <si>
    <t>Oil prices show a high fluctuation. Current and historic data on oil prices for Austria can be checked in 12). In 2019 the oil prices varied between 0.67 EUR/l and 0.85 EUR/l (gross price for the purchase of 3000 l standard oil). 
The CO₂ equivalent emission factor is assumed to be 310 g/kWh as given in 14).</t>
  </si>
  <si>
    <t xml:space="preserve">Exemplary value 8.06 kWh/kg for bituminous coal retrieved from 6). 
In 8) bituminous coal ("Steinkohle") vary between 0.5 and 0.7 EUR/kg (gross price, incl. Transport) depending on the coal size and amount purchased. The fuel supplier ensures a minimum net heating value of 7.8 kWh/kg.
Lignite ("Braunkohle") is cheaper but it has a lower net heating value. Prices and net heating value for lignite coal can be also found in 8)
The CO₂ equivalent emission factor is assumed to be 375 g/kWh as given in 14). </t>
  </si>
  <si>
    <r>
      <t>The electricity costs in Austria (incl. Grid costs, taxes and duties) varies between 0.17 and 0.24 EUR/kWh</t>
    </r>
    <r>
      <rPr>
        <vertAlign val="subscript"/>
        <sz val="11"/>
        <color theme="1"/>
        <rFont val="Calibri"/>
        <family val="2"/>
        <scheme val="minor"/>
      </rPr>
      <t>el</t>
    </r>
    <r>
      <rPr>
        <sz val="11"/>
        <color theme="1"/>
        <rFont val="Calibri"/>
        <family val="2"/>
        <scheme val="minor"/>
      </rPr>
      <t xml:space="preserve"> depending on different factors (electricity consumption, energy supply company, location, ...). Here only the consumption dependent costs have to be included. Based on 10) electricity tariff "SteirerKOMFORT" for private customers with an electricity demand till 100000 kWh/a the energy price net and gross are respectively 0.0666 and 0.0799 EUR/kWh. Further costs are the flat rate and the grid costs. The sum of these values is in net and gross 174 and 209 EUR/a respectively (these have to be considered in the input cell "basic charge" - see sheet "Heating system" and "Reference systems" - . Since electricity is used only partially for heating, the basic charge can be reduced, i.e. be partially considered. Here we assume 50 % of the basic charge for heating purposes). Furthermore, there are grid costs that do depen on the consumption. based on 10) these costs are net and gross 8.27 Cent/kWh and 9.9 Cent/kWh respectively. These costs are included in the additional costs sections (additional costs II entry). If prefered it can be considered directly here.
The CO₂ equivalent emission factor is assumed to be 227 g/kWh as given in 14). </t>
    </r>
  </si>
  <si>
    <t>room for notes 
(Tip: reference systems that should not be displayed can be hidden by hiding columns.)</t>
  </si>
  <si>
    <r>
      <t xml:space="preserve">Energy charge costs refer to fuel consumption and are derived from the sheet "Boundary conditions". Basic and meter charge values are to be added if energy comes from a grid, i.e. electricity or gas grid. (if these costs depend on consumption -kWh- or capacity installed - kW -, they can be added in the additional costs section).
</t>
    </r>
    <r>
      <rPr>
        <sz val="11"/>
        <color rgb="FFFF0000"/>
        <rFont val="Calibri"/>
        <family val="2"/>
        <scheme val="minor"/>
      </rPr>
      <t xml:space="preserve">It is strongly recommended to adapt the investment (without subsidy) to local prices. </t>
    </r>
    <r>
      <rPr>
        <sz val="11"/>
        <color theme="1"/>
        <rFont val="Calibri"/>
        <family val="2"/>
        <scheme val="minor"/>
      </rPr>
      <t>Be aware that these costs have to be redefined each time if system capacities are changed (e.g. from small to large systems), unless investment costs are defined as a function of the capacity installed.
Notice that the investment costs refer to the heat production units and additional necessary equipment (e.g. fuel silo). However, it can be assumed that the costs of the heat delivery system (e.g. radiators) are very different for some heating systems and should therefore be included in the calculation. In any case, the system boundaries need to be clearly defined and set equally for all compaired systems for fair terms of comparison.
The loan period is calculated based on the investment so that the consumer effort (annuity) is kept in a comparable range for all heating systems. The loan period is limited by the installation lifetime.</t>
    </r>
  </si>
  <si>
    <t>Condensing boiler might have an efficiency greater than 100 % due to the reference of the efficiency to the net heating value (lower heating value).</t>
  </si>
  <si>
    <t>Christian Ramerstorfer - c.ramerstorfer@aee.at</t>
  </si>
  <si>
    <t>Please contact AEE INTEC for any suggestions or bug-reports about this tool:</t>
  </si>
  <si>
    <r>
      <t xml:space="preserve">In the </t>
    </r>
    <r>
      <rPr>
        <b/>
        <sz val="11"/>
        <color theme="1"/>
        <rFont val="Calibri"/>
        <family val="2"/>
        <scheme val="minor"/>
      </rPr>
      <t>boundary conditions</t>
    </r>
    <r>
      <rPr>
        <sz val="11"/>
        <color theme="1"/>
        <rFont val="Calibri"/>
        <family val="2"/>
        <scheme val="minor"/>
      </rPr>
      <t xml:space="preserve"> sheet technical, economic and ecological boundary conditions are to be defined. </t>
    </r>
    <r>
      <rPr>
        <sz val="11"/>
        <color rgb="FFFF0000"/>
        <rFont val="Calibri"/>
        <family val="2"/>
        <scheme val="minor"/>
      </rPr>
      <t>Please ensure that the values entered are representative and consistent. The input data should refer to a uniform and, if possible, current and representative year.</t>
    </r>
    <r>
      <rPr>
        <sz val="11"/>
        <color theme="1"/>
        <rFont val="Calibri"/>
        <family val="2"/>
        <scheme val="minor"/>
      </rPr>
      <t xml:space="preserve">
For each main fuel type, it is possible to specify the following parameters:</t>
    </r>
  </si>
  <si>
    <r>
      <t xml:space="preserve">- </t>
    </r>
    <r>
      <rPr>
        <b/>
        <sz val="11"/>
        <color theme="1"/>
        <rFont val="Calibri"/>
        <family val="2"/>
        <scheme val="minor"/>
      </rPr>
      <t>net heating value</t>
    </r>
    <r>
      <rPr>
        <sz val="11"/>
        <color theme="1"/>
        <rFont val="Calibri"/>
        <family val="2"/>
        <scheme val="minor"/>
      </rPr>
      <t xml:space="preserve">: The net heating value </t>
    </r>
    <r>
      <rPr>
        <sz val="11"/>
        <color rgb="FFFF0000"/>
        <rFont val="Calibri"/>
        <family val="2"/>
        <scheme val="minor"/>
      </rPr>
      <t>(</t>
    </r>
    <r>
      <rPr>
        <sz val="11"/>
        <color theme="1"/>
        <rFont val="Calibri"/>
        <family val="2"/>
        <scheme val="minor"/>
      </rPr>
      <t>or net calorific value NCV</t>
    </r>
    <r>
      <rPr>
        <sz val="11"/>
        <color rgb="FFFF0000"/>
        <rFont val="Calibri"/>
        <family val="2"/>
        <scheme val="minor"/>
      </rPr>
      <t>)</t>
    </r>
    <r>
      <rPr>
        <sz val="11"/>
        <color theme="1"/>
        <rFont val="Calibri"/>
        <family val="2"/>
        <scheme val="minor"/>
      </rPr>
      <t xml:space="preserve"> is the amount of heat released after complete combustion without considering the condensation heat of water </t>
    </r>
    <r>
      <rPr>
        <sz val="11"/>
        <color rgb="FFFF0000"/>
        <rFont val="Calibri"/>
        <family val="2"/>
        <scheme val="minor"/>
      </rPr>
      <t>(</t>
    </r>
    <r>
      <rPr>
        <sz val="11"/>
        <color theme="1"/>
        <rFont val="Calibri"/>
        <family val="2"/>
        <scheme val="minor"/>
      </rPr>
      <t>as it is usually dissipated as unused steam</t>
    </r>
    <r>
      <rPr>
        <sz val="11"/>
        <color rgb="FFFF0000"/>
        <rFont val="Calibri"/>
        <family val="2"/>
        <scheme val="minor"/>
      </rPr>
      <t>)</t>
    </r>
    <r>
      <rPr>
        <sz val="11"/>
        <color theme="1"/>
        <rFont val="Calibri"/>
        <family val="2"/>
        <scheme val="minor"/>
      </rPr>
      <t xml:space="preserve">. Beware that, though it is possible to change the net heating value, it might be only necessary to revise this value for biomass fuels where depending on the exact source </t>
    </r>
    <r>
      <rPr>
        <sz val="11"/>
        <color rgb="FFFF0000"/>
        <rFont val="Calibri"/>
        <family val="2"/>
        <scheme val="minor"/>
      </rPr>
      <t>(</t>
    </r>
    <r>
      <rPr>
        <sz val="11"/>
        <color theme="1"/>
        <rFont val="Calibri"/>
        <family val="2"/>
        <scheme val="minor"/>
      </rPr>
      <t>e.g. wood type, water content, ...</t>
    </r>
    <r>
      <rPr>
        <sz val="11"/>
        <color rgb="FFFF0000"/>
        <rFont val="Calibri"/>
        <family val="2"/>
        <scheme val="minor"/>
      </rPr>
      <t>)</t>
    </r>
    <r>
      <rPr>
        <sz val="11"/>
        <color theme="1"/>
        <rFont val="Calibri"/>
        <family val="2"/>
        <scheme val="minor"/>
      </rPr>
      <t xml:space="preserve"> relevant differences on the net heating value can be observed.
- </t>
    </r>
    <r>
      <rPr>
        <b/>
        <sz val="11"/>
        <color theme="1"/>
        <rFont val="Calibri"/>
        <family val="2"/>
        <scheme val="minor"/>
      </rPr>
      <t>fuel price</t>
    </r>
    <r>
      <rPr>
        <sz val="11"/>
        <color theme="1"/>
        <rFont val="Calibri"/>
        <family val="2"/>
        <scheme val="minor"/>
      </rPr>
      <t xml:space="preserve">: fuel prices should be referred to a specific and representative year </t>
    </r>
    <r>
      <rPr>
        <sz val="11"/>
        <color rgb="FFFF0000"/>
        <rFont val="Calibri"/>
        <family val="2"/>
        <scheme val="minor"/>
      </rPr>
      <t>(</t>
    </r>
    <r>
      <rPr>
        <sz val="11"/>
        <color theme="1"/>
        <rFont val="Calibri"/>
        <family val="2"/>
        <scheme val="minor"/>
      </rPr>
      <t>the same or similar for all fuels</t>
    </r>
    <r>
      <rPr>
        <sz val="11"/>
        <color rgb="FFFF0000"/>
        <rFont val="Calibri"/>
        <family val="2"/>
        <scheme val="minor"/>
      </rPr>
      <t>)</t>
    </r>
    <r>
      <rPr>
        <sz val="11"/>
        <color theme="1"/>
        <rFont val="Calibri"/>
        <family val="2"/>
        <scheme val="minor"/>
      </rPr>
      <t xml:space="preserve">
- </t>
    </r>
    <r>
      <rPr>
        <b/>
        <sz val="11"/>
        <color theme="1"/>
        <rFont val="Calibri"/>
        <family val="2"/>
        <scheme val="minor"/>
      </rPr>
      <t>average price development</t>
    </r>
    <r>
      <rPr>
        <sz val="11"/>
        <color theme="1"/>
        <rFont val="Calibri"/>
        <family val="2"/>
        <scheme val="minor"/>
      </rPr>
      <t xml:space="preserve">: Expected fuel price development for the upcoming 20 years. The same percentual </t>
    </r>
    <r>
      <rPr>
        <sz val="11"/>
        <color rgb="FFFF0000"/>
        <rFont val="Calibri"/>
        <family val="2"/>
        <scheme val="minor"/>
      </rPr>
      <t>(</t>
    </r>
    <r>
      <rPr>
        <sz val="11"/>
        <color theme="1"/>
        <rFont val="Calibri"/>
        <family val="2"/>
        <scheme val="minor"/>
      </rPr>
      <t>not absolute</t>
    </r>
    <r>
      <rPr>
        <sz val="11"/>
        <color rgb="FFFF0000"/>
        <rFont val="Calibri"/>
        <family val="2"/>
        <scheme val="minor"/>
      </rPr>
      <t>)</t>
    </r>
    <r>
      <rPr>
        <sz val="11"/>
        <color theme="1"/>
        <rFont val="Calibri"/>
        <family val="2"/>
        <scheme val="minor"/>
      </rPr>
      <t xml:space="preserve"> increase from year to year is assumed. </t>
    </r>
    <r>
      <rPr>
        <sz val="11"/>
        <color rgb="FFFF0000"/>
        <rFont val="Calibri"/>
        <family val="2"/>
        <scheme val="minor"/>
      </rPr>
      <t xml:space="preserve">Due to the uncertainties regarding future fuel prices and their large influence on the results, it is advisable to set the average price development based on conservative assumptions. </t>
    </r>
    <r>
      <rPr>
        <sz val="11"/>
        <color theme="1"/>
        <rFont val="Calibri"/>
        <family val="2"/>
        <scheme val="minor"/>
      </rPr>
      <t xml:space="preserve">
- </t>
    </r>
    <r>
      <rPr>
        <b/>
        <sz val="11"/>
        <color theme="1"/>
        <rFont val="Calibri"/>
        <family val="2"/>
        <scheme val="minor"/>
      </rPr>
      <t>average heat price</t>
    </r>
    <r>
      <rPr>
        <sz val="11"/>
        <color theme="1"/>
        <rFont val="Calibri"/>
        <family val="2"/>
        <scheme val="minor"/>
      </rPr>
      <t xml:space="preserve">: Based on the fuel price for the base </t>
    </r>
    <r>
      <rPr>
        <sz val="11"/>
        <color rgb="FFFF0000"/>
        <rFont val="Calibri"/>
        <family val="2"/>
        <scheme val="minor"/>
      </rPr>
      <t>(</t>
    </r>
    <r>
      <rPr>
        <sz val="11"/>
        <color theme="1"/>
        <rFont val="Calibri"/>
        <family val="2"/>
        <scheme val="minor"/>
      </rPr>
      <t>representative</t>
    </r>
    <r>
      <rPr>
        <sz val="11"/>
        <color rgb="FFFF0000"/>
        <rFont val="Calibri"/>
        <family val="2"/>
        <scheme val="minor"/>
      </rPr>
      <t>)</t>
    </r>
    <r>
      <rPr>
        <sz val="11"/>
        <color theme="1"/>
        <rFont val="Calibri"/>
        <family val="2"/>
        <scheme val="minor"/>
      </rPr>
      <t xml:space="preserve"> year and the average price development an </t>
    </r>
    <r>
      <rPr>
        <b/>
        <sz val="11"/>
        <color theme="1"/>
        <rFont val="Calibri"/>
        <family val="2"/>
        <scheme val="minor"/>
      </rPr>
      <t>average heat price</t>
    </r>
    <r>
      <rPr>
        <sz val="11"/>
        <color theme="1"/>
        <rFont val="Calibri"/>
        <family val="2"/>
        <scheme val="minor"/>
      </rPr>
      <t xml:space="preserve"> for the next 20 years is calculated. This value will be later used in the calculations of the reference systems.
- </t>
    </r>
    <r>
      <rPr>
        <b/>
        <sz val="11"/>
        <color theme="1"/>
        <rFont val="Calibri"/>
        <family val="2"/>
        <scheme val="minor"/>
      </rPr>
      <t>CO</t>
    </r>
    <r>
      <rPr>
        <b/>
        <sz val="11"/>
        <color theme="1"/>
        <rFont val="Calibri"/>
        <family val="2"/>
      </rPr>
      <t>₂</t>
    </r>
    <r>
      <rPr>
        <b/>
        <sz val="11"/>
        <color theme="1"/>
        <rFont val="Calibri"/>
        <family val="2"/>
        <scheme val="minor"/>
      </rPr>
      <t xml:space="preserve"> equivalent emission factor</t>
    </r>
    <r>
      <rPr>
        <sz val="11"/>
        <color theme="1"/>
        <rFont val="Calibri"/>
        <family val="2"/>
        <scheme val="minor"/>
      </rPr>
      <t xml:space="preserve">: </t>
    </r>
    <r>
      <rPr>
        <sz val="11"/>
        <rFont val="Calibri"/>
        <family val="2"/>
        <scheme val="minor"/>
      </rPr>
      <t xml:space="preserve"> The factor is used in the ecological evaluation of the reference systems and is given in kg per kWh of fuel </t>
    </r>
    <r>
      <rPr>
        <sz val="11"/>
        <color rgb="FFFF0000"/>
        <rFont val="Calibri"/>
        <family val="2"/>
        <scheme val="minor"/>
      </rPr>
      <t>(</t>
    </r>
    <r>
      <rPr>
        <sz val="11"/>
        <rFont val="Calibri"/>
        <family val="2"/>
        <scheme val="minor"/>
      </rPr>
      <t>net heating value</t>
    </r>
    <r>
      <rPr>
        <sz val="11"/>
        <color rgb="FFFF0000"/>
        <rFont val="Calibri"/>
        <family val="2"/>
        <scheme val="minor"/>
      </rPr>
      <t>)</t>
    </r>
    <r>
      <rPr>
        <sz val="11"/>
        <rFont val="Calibri"/>
        <family val="2"/>
        <scheme val="minor"/>
      </rPr>
      <t>.</t>
    </r>
    <r>
      <rPr>
        <sz val="11"/>
        <color rgb="FFFF0000"/>
        <rFont val="Calibri"/>
        <family val="2"/>
        <scheme val="minor"/>
      </rPr>
      <t xml:space="preserve">
</t>
    </r>
  </si>
  <si>
    <r>
      <t xml:space="preserve">The </t>
    </r>
    <r>
      <rPr>
        <b/>
        <sz val="11"/>
        <color theme="1"/>
        <rFont val="Calibri"/>
        <family val="2"/>
        <scheme val="minor"/>
      </rPr>
      <t>heating system</t>
    </r>
    <r>
      <rPr>
        <sz val="11"/>
        <color theme="1"/>
        <rFont val="Calibri"/>
        <family val="2"/>
        <scheme val="minor"/>
      </rPr>
      <t xml:space="preserve"> sheet includes the necessary information to define the heating system of a potential DH customer. The aim of the first section (left) is to obtain the</t>
    </r>
    <r>
      <rPr>
        <b/>
        <sz val="11"/>
        <color theme="1"/>
        <rFont val="Calibri"/>
        <family val="2"/>
        <scheme val="minor"/>
      </rPr>
      <t xml:space="preserve"> annual</t>
    </r>
    <r>
      <rPr>
        <sz val="11"/>
        <color theme="1"/>
        <rFont val="Calibri"/>
        <family val="2"/>
        <scheme val="minor"/>
      </rPr>
      <t xml:space="preserve"> </t>
    </r>
    <r>
      <rPr>
        <b/>
        <sz val="11"/>
        <color theme="1"/>
        <rFont val="Calibri"/>
        <family val="2"/>
        <scheme val="minor"/>
      </rPr>
      <t>heat demand</t>
    </r>
    <r>
      <rPr>
        <sz val="11"/>
        <color theme="1"/>
        <rFont val="Calibri"/>
        <family val="2"/>
        <scheme val="minor"/>
      </rPr>
      <t xml:space="preserve"> and necessary </t>
    </r>
    <r>
      <rPr>
        <b/>
        <sz val="11"/>
        <color theme="1"/>
        <rFont val="Calibri"/>
        <family val="2"/>
        <scheme val="minor"/>
      </rPr>
      <t>heat capacity</t>
    </r>
    <r>
      <rPr>
        <sz val="11"/>
        <color theme="1"/>
        <rFont val="Calibri"/>
        <family val="2"/>
        <scheme val="minor"/>
      </rPr>
      <t xml:space="preserve">.
The </t>
    </r>
    <r>
      <rPr>
        <b/>
        <sz val="11"/>
        <color theme="1"/>
        <rFont val="Calibri"/>
        <family val="2"/>
        <scheme val="minor"/>
      </rPr>
      <t>annual heat demand</t>
    </r>
    <r>
      <rPr>
        <sz val="11"/>
        <color theme="1"/>
        <rFont val="Calibri"/>
        <family val="2"/>
        <scheme val="minor"/>
      </rPr>
      <t xml:space="preserve"> is obtained indirectly by introducing the </t>
    </r>
    <r>
      <rPr>
        <b/>
        <sz val="11"/>
        <color theme="1"/>
        <rFont val="Calibri"/>
        <family val="2"/>
        <scheme val="minor"/>
      </rPr>
      <t>fuel type</t>
    </r>
    <r>
      <rPr>
        <sz val="11"/>
        <color theme="1"/>
        <rFont val="Calibri"/>
        <family val="2"/>
        <scheme val="minor"/>
      </rPr>
      <t xml:space="preserve">, annual </t>
    </r>
    <r>
      <rPr>
        <b/>
        <sz val="11"/>
        <color theme="1"/>
        <rFont val="Calibri"/>
        <family val="2"/>
        <scheme val="minor"/>
      </rPr>
      <t>fuel consumption</t>
    </r>
    <r>
      <rPr>
        <sz val="11"/>
        <color theme="1"/>
        <rFont val="Calibri"/>
        <family val="2"/>
        <scheme val="minor"/>
      </rPr>
      <t xml:space="preserve"> and </t>
    </r>
    <r>
      <rPr>
        <b/>
        <sz val="11"/>
        <color theme="1"/>
        <rFont val="Calibri"/>
        <family val="2"/>
        <scheme val="minor"/>
      </rPr>
      <t>annual efficiency</t>
    </r>
    <r>
      <rPr>
        <sz val="11"/>
        <color theme="1"/>
        <rFont val="Calibri"/>
        <family val="2"/>
        <scheme val="minor"/>
      </rPr>
      <t xml:space="preserve"> of the heat production unit. Notice that the annual efficiency does not correspond to the efficiency under nominal conditions but rather an average over the year (this is due to e.g. partial load operation typically slightly lower than the efficiency under nominal conditions).
The </t>
    </r>
    <r>
      <rPr>
        <b/>
        <sz val="11"/>
        <color theme="1"/>
        <rFont val="Calibri"/>
        <family val="2"/>
        <scheme val="minor"/>
      </rPr>
      <t>installed heat capacity</t>
    </r>
    <r>
      <rPr>
        <sz val="11"/>
        <color theme="1"/>
        <rFont val="Calibri"/>
        <family val="2"/>
        <scheme val="minor"/>
      </rPr>
      <t xml:space="preserve"> is derived assuming a number of </t>
    </r>
    <r>
      <rPr>
        <b/>
        <sz val="11"/>
        <color theme="1"/>
        <rFont val="Calibri"/>
        <family val="2"/>
        <scheme val="minor"/>
      </rPr>
      <t>full load operating hours</t>
    </r>
    <r>
      <rPr>
        <sz val="11"/>
        <color theme="1"/>
        <rFont val="Calibri"/>
        <family val="2"/>
        <scheme val="minor"/>
      </rPr>
      <t xml:space="preserve">. The assumption on the number of </t>
    </r>
    <r>
      <rPr>
        <b/>
        <sz val="11"/>
        <color theme="1"/>
        <rFont val="Calibri"/>
        <family val="2"/>
        <scheme val="minor"/>
      </rPr>
      <t>full load operating hours</t>
    </r>
    <r>
      <rPr>
        <sz val="11"/>
        <color theme="1"/>
        <rFont val="Calibri"/>
        <family val="2"/>
        <scheme val="minor"/>
      </rPr>
      <t xml:space="preserve"> is based on experience, i.e. typical values for similar objects and similar weather conditions. However, if the </t>
    </r>
    <r>
      <rPr>
        <b/>
        <sz val="11"/>
        <color theme="1"/>
        <rFont val="Calibri"/>
        <family val="2"/>
        <scheme val="minor"/>
      </rPr>
      <t>installed heat capacity</t>
    </r>
    <r>
      <rPr>
        <sz val="11"/>
        <color theme="1"/>
        <rFont val="Calibri"/>
        <family val="2"/>
        <scheme val="minor"/>
      </rPr>
      <t xml:space="preserve"> of the existing heating system (e.g. boiler) is known the full load operating hours might be adjusted to match the known value.
Furthermore, it is possible to define which amount of heat produced by the main heating production unit is used to cover domestic hot water demand. This is done indirectly by estimating a heat demand for hot water preparation and the percentage of it that is covered by the main heating system (e.g. 0 % if domestic hot water is exclusively produced by an electric water heater, </t>
    </r>
    <r>
      <rPr>
        <sz val="11"/>
        <color theme="1"/>
        <rFont val="Calibri"/>
        <family val="2"/>
      </rPr>
      <t>≤</t>
    </r>
    <r>
      <rPr>
        <sz val="11"/>
        <color theme="1"/>
        <rFont val="Calibri"/>
        <family val="2"/>
        <scheme val="minor"/>
      </rPr>
      <t xml:space="preserve"> 100% if a solar thermal installation is installed and the solar heat covers a part of the heat demand, 100 % if no additional heat source is being used rather than the main heating system). </t>
    </r>
    <r>
      <rPr>
        <sz val="11"/>
        <color rgb="FFFF0000"/>
        <rFont val="Calibri"/>
        <family val="2"/>
        <scheme val="minor"/>
      </rPr>
      <t>Notice that in the current version of this tool it is assumed that the already existing heating system is to be substituted by a DH system or an alternative technical solution (reference systems), i.e. the heat demand of the existing heating system is used as the basis for comparison.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</si>
</sst>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0\ &quot;€&quot;;[Red]\-#,##0\ &quot;€&quot;"/>
    <numFmt numFmtId="164" formatCode="_-* #,##0.00\ _€_-;\-* #,##0.00\ _€_-;_-* &quot;-&quot;??\ _€_-;_-@_-"/>
    <numFmt numFmtId="165" formatCode="0.000"/>
    <numFmt numFmtId="166" formatCode="0.0"/>
    <numFmt numFmtId="167" formatCode="0.0%"/>
    <numFmt numFmtId="168" formatCode="_-&quot;€&quot;\ * #,##0.00_-;\-&quot;€&quot;\ * #,##0.00_-;_-&quot;€&quot;\ * &quot;-&quot;??_-;_-@_-"/>
    <numFmt numFmtId="169" formatCode="#,##0.0"/>
    <numFmt numFmtId="170" formatCode="0.00000"/>
    <numFmt numFmtId="171" formatCode="#,##0.0000"/>
    <numFmt numFmtId="172" formatCode="#,##0.000"/>
  </numFmts>
  <fonts count="22"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1"/>
      <name val="Calibri"/>
      <family val="2"/>
    </font>
    <font>
      <vertAlign val="subscript"/>
      <sz val="11"/>
      <color theme="1"/>
      <name val="Calibri"/>
      <family val="2"/>
      <scheme val="minor"/>
    </font>
    <font>
      <sz val="16"/>
      <color rgb="FFFF0000"/>
      <name val="Calibri"/>
      <family val="2"/>
      <scheme val="minor"/>
    </font>
    <font>
      <u/>
      <sz val="11"/>
      <color theme="10"/>
      <name val="Calibri"/>
      <family val="2"/>
      <scheme val="minor"/>
    </font>
    <font>
      <b/>
      <sz val="11"/>
      <color rgb="FFFF0000"/>
      <name val="Calibri"/>
      <family val="2"/>
      <scheme val="minor"/>
    </font>
    <font>
      <b/>
      <sz val="11"/>
      <color theme="5"/>
      <name val="Calibri"/>
      <family val="2"/>
      <scheme val="minor"/>
    </font>
    <font>
      <sz val="10"/>
      <name val="Arial"/>
      <family val="2"/>
    </font>
    <font>
      <u/>
      <sz val="10"/>
      <color indexed="12"/>
      <name val="Arial"/>
      <family val="2"/>
    </font>
    <font>
      <sz val="11"/>
      <color indexed="8"/>
      <name val="Calibri"/>
      <family val="2"/>
    </font>
    <font>
      <b/>
      <sz val="14"/>
      <color theme="1"/>
      <name val="Calibri"/>
      <family val="2"/>
      <scheme val="minor"/>
    </font>
    <font>
      <sz val="12"/>
      <color theme="1"/>
      <name val="Calibri"/>
      <family val="2"/>
      <scheme val="minor"/>
    </font>
    <font>
      <b/>
      <sz val="20"/>
      <color theme="1"/>
      <name val="Calibri"/>
      <family val="2"/>
      <scheme val="minor"/>
    </font>
    <font>
      <b/>
      <sz val="11"/>
      <name val="Calibri"/>
      <family val="2"/>
      <scheme val="minor"/>
    </font>
    <font>
      <vertAlign val="superscript"/>
      <sz val="11"/>
      <color theme="1"/>
      <name val="Calibri"/>
      <family val="2"/>
      <scheme val="minor"/>
    </font>
    <font>
      <sz val="9.35"/>
      <color theme="1"/>
      <name val="Calibri"/>
      <family val="2"/>
    </font>
    <font>
      <i/>
      <sz val="11"/>
      <color theme="1"/>
      <name val="Calibri"/>
      <family val="2"/>
      <scheme val="minor"/>
    </font>
    <font>
      <sz val="11"/>
      <name val="Calibri"/>
      <family val="2"/>
      <scheme val="minor"/>
    </font>
    <font>
      <b/>
      <sz val="11"/>
      <color theme="1"/>
      <name val="Calibri"/>
      <family val="2"/>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xf numFmtId="9" fontId="1" fillId="0" borderId="0" applyFont="0" applyFill="0" applyBorder="0" applyAlignment="0" applyProtection="0"/>
    <xf numFmtId="0" fontId="7" fillId="0" borderId="0" applyNumberFormat="0" applyFill="0" applyBorder="0" applyAlignment="0" applyProtection="0"/>
    <xf numFmtId="168" fontId="10" fillId="0" borderId="0" applyFont="0" applyFill="0" applyBorder="0" applyAlignment="0" applyProtection="0"/>
    <xf numFmtId="0" fontId="11" fillId="0" borderId="0" applyNumberFormat="0" applyFill="0" applyBorder="0" applyAlignment="0" applyProtection="0">
      <alignment vertical="top"/>
      <protection locked="0"/>
    </xf>
    <xf numFmtId="164" fontId="12" fillId="0" borderId="0" applyFont="0" applyFill="0" applyBorder="0" applyAlignment="0" applyProtection="0"/>
    <xf numFmtId="9" fontId="12" fillId="0" borderId="0" applyFont="0" applyFill="0" applyBorder="0" applyAlignment="0" applyProtection="0"/>
    <xf numFmtId="0" fontId="14" fillId="0" borderId="0"/>
    <xf numFmtId="164" fontId="14" fillId="0" borderId="0" applyFont="0" applyFill="0" applyBorder="0" applyAlignment="0" applyProtection="0"/>
  </cellStyleXfs>
  <cellXfs count="239">
    <xf numFmtId="0" fontId="0" fillId="0" borderId="0" xfId="0"/>
    <xf numFmtId="0" fontId="0" fillId="0" borderId="0" xfId="0" applyAlignment="1"/>
    <xf numFmtId="0" fontId="0" fillId="2" borderId="1" xfId="0" applyFill="1" applyBorder="1" applyAlignment="1">
      <alignment horizontal="center"/>
    </xf>
    <xf numFmtId="0" fontId="0" fillId="0" borderId="1" xfId="0" applyBorder="1"/>
    <xf numFmtId="3" fontId="0" fillId="0" borderId="1" xfId="0" applyNumberFormat="1" applyBorder="1"/>
    <xf numFmtId="0" fontId="6" fillId="0" borderId="0" xfId="0" applyFont="1"/>
    <xf numFmtId="9" fontId="0" fillId="0" borderId="0" xfId="1" applyFont="1" applyAlignment="1">
      <alignment horizontal="center"/>
    </xf>
    <xf numFmtId="0" fontId="3" fillId="0" borderId="0" xfId="0" applyFont="1"/>
    <xf numFmtId="0" fontId="0" fillId="0" borderId="1" xfId="0" applyBorder="1" applyAlignment="1">
      <alignment horizontal="right"/>
    </xf>
    <xf numFmtId="0" fontId="0" fillId="0" borderId="1" xfId="0" applyBorder="1" applyAlignment="1">
      <alignment horizontal="left"/>
    </xf>
    <xf numFmtId="9" fontId="0" fillId="0" borderId="1" xfId="1" applyFont="1" applyBorder="1" applyAlignment="1">
      <alignment horizontal="center"/>
    </xf>
    <xf numFmtId="9" fontId="0" fillId="0" borderId="1" xfId="1" applyFont="1" applyBorder="1" applyAlignment="1">
      <alignment horizontal="right"/>
    </xf>
    <xf numFmtId="0" fontId="0" fillId="0" borderId="0" xfId="0" applyAlignment="1">
      <alignment horizontal="right"/>
    </xf>
    <xf numFmtId="9" fontId="0" fillId="0" borderId="1" xfId="1" applyFont="1" applyFill="1" applyBorder="1" applyAlignment="1">
      <alignment horizontal="center"/>
    </xf>
    <xf numFmtId="9" fontId="0" fillId="0" borderId="1" xfId="1" applyFont="1" applyBorder="1"/>
    <xf numFmtId="0" fontId="0" fillId="0" borderId="0" xfId="0"/>
    <xf numFmtId="0" fontId="13" fillId="0" borderId="0" xfId="0" applyFont="1" applyAlignment="1">
      <alignment horizontal="left" vertical="top" wrapText="1"/>
    </xf>
    <xf numFmtId="0" fontId="13" fillId="0" borderId="0" xfId="0" applyFont="1" applyAlignment="1">
      <alignment vertical="top"/>
    </xf>
    <xf numFmtId="0" fontId="7" fillId="0" borderId="0" xfId="2" applyAlignment="1">
      <alignment horizontal="center"/>
    </xf>
    <xf numFmtId="0" fontId="3" fillId="0" borderId="1" xfId="0" applyFont="1" applyBorder="1" applyAlignment="1">
      <alignment vertical="center"/>
    </xf>
    <xf numFmtId="3" fontId="0" fillId="0" borderId="0" xfId="0" applyNumberFormat="1"/>
    <xf numFmtId="0" fontId="0" fillId="0" borderId="0" xfId="0" applyBorder="1"/>
    <xf numFmtId="0" fontId="0" fillId="0" borderId="1" xfId="0" applyFill="1" applyBorder="1"/>
    <xf numFmtId="0" fontId="0" fillId="0" borderId="1" xfId="0" applyBorder="1" applyAlignment="1">
      <alignment horizontal="center"/>
    </xf>
    <xf numFmtId="0" fontId="0" fillId="0" borderId="3" xfId="0" applyBorder="1"/>
    <xf numFmtId="0" fontId="0" fillId="0" borderId="6" xfId="0" applyBorder="1"/>
    <xf numFmtId="0" fontId="0" fillId="0" borderId="1" xfId="0" applyFill="1" applyBorder="1" applyAlignment="1">
      <alignment horizontal="center"/>
    </xf>
    <xf numFmtId="0" fontId="0" fillId="0" borderId="1" xfId="0" applyBorder="1" applyAlignment="1">
      <alignment horizontal="center" vertical="center"/>
    </xf>
    <xf numFmtId="165" fontId="0" fillId="0" borderId="1" xfId="0" applyNumberFormat="1" applyBorder="1" applyAlignment="1">
      <alignment horizontal="center" vertical="center"/>
    </xf>
    <xf numFmtId="165" fontId="0" fillId="0" borderId="1" xfId="0" applyNumberFormat="1" applyFill="1" applyBorder="1" applyAlignment="1">
      <alignment horizontal="center" vertical="center"/>
    </xf>
    <xf numFmtId="0" fontId="8" fillId="0" borderId="1" xfId="0" applyFont="1" applyBorder="1" applyAlignment="1">
      <alignment horizontal="center"/>
    </xf>
    <xf numFmtId="0" fontId="0" fillId="0" borderId="1" xfId="0" applyBorder="1" applyAlignment="1">
      <alignment horizontal="left" vertical="center"/>
    </xf>
    <xf numFmtId="0" fontId="0" fillId="0" borderId="1" xfId="0" applyFill="1" applyBorder="1" applyAlignment="1">
      <alignment horizontal="left" vertical="center"/>
    </xf>
    <xf numFmtId="0" fontId="0" fillId="0" borderId="0" xfId="0" applyFill="1" applyBorder="1"/>
    <xf numFmtId="165" fontId="0" fillId="0" borderId="1" xfId="0" applyNumberFormat="1" applyBorder="1" applyAlignment="1">
      <alignment horizontal="center"/>
    </xf>
    <xf numFmtId="166" fontId="0" fillId="0" borderId="1" xfId="0" applyNumberFormat="1" applyBorder="1"/>
    <xf numFmtId="9" fontId="0" fillId="0" borderId="1" xfId="0" applyNumberFormat="1" applyBorder="1"/>
    <xf numFmtId="1" fontId="0" fillId="0" borderId="1" xfId="0" applyNumberFormat="1" applyBorder="1"/>
    <xf numFmtId="6" fontId="0" fillId="0" borderId="0" xfId="0" applyNumberFormat="1"/>
    <xf numFmtId="169" fontId="0" fillId="0" borderId="1" xfId="0" applyNumberFormat="1" applyBorder="1"/>
    <xf numFmtId="9" fontId="0" fillId="0" borderId="1" xfId="1" applyFont="1" applyBorder="1" applyAlignment="1">
      <alignment horizontal="left"/>
    </xf>
    <xf numFmtId="0" fontId="0" fillId="0" borderId="1" xfId="0" applyFill="1" applyBorder="1" applyAlignment="1">
      <alignment horizontal="left"/>
    </xf>
    <xf numFmtId="0" fontId="0" fillId="0" borderId="0" xfId="0" applyAlignment="1">
      <alignment horizontal="center"/>
    </xf>
    <xf numFmtId="0" fontId="0" fillId="0" borderId="13" xfId="0" applyBorder="1"/>
    <xf numFmtId="169" fontId="0" fillId="0" borderId="13" xfId="0" applyNumberFormat="1" applyBorder="1"/>
    <xf numFmtId="169" fontId="0" fillId="0" borderId="14" xfId="0" applyNumberFormat="1" applyFill="1" applyBorder="1" applyAlignment="1">
      <alignment horizontal="center"/>
    </xf>
    <xf numFmtId="0" fontId="2" fillId="0" borderId="0" xfId="0" applyFont="1"/>
    <xf numFmtId="0" fontId="0" fillId="0" borderId="2" xfId="0" applyBorder="1"/>
    <xf numFmtId="0" fontId="3" fillId="0" borderId="15" xfId="0" applyFont="1" applyBorder="1" applyAlignment="1">
      <alignment horizontal="center" vertical="center"/>
    </xf>
    <xf numFmtId="0" fontId="0" fillId="0" borderId="4" xfId="0" applyBorder="1" applyAlignment="1">
      <alignment horizontal="left"/>
    </xf>
    <xf numFmtId="0" fontId="0" fillId="3" borderId="1" xfId="0" applyFill="1" applyBorder="1" applyAlignment="1">
      <alignment horizontal="center"/>
    </xf>
    <xf numFmtId="169" fontId="0" fillId="3" borderId="1" xfId="0" applyNumberFormat="1" applyFill="1" applyBorder="1" applyAlignment="1">
      <alignment horizontal="center"/>
    </xf>
    <xf numFmtId="0" fontId="0" fillId="0" borderId="4" xfId="0" applyBorder="1" applyAlignment="1">
      <alignment horizontal="center"/>
    </xf>
    <xf numFmtId="0" fontId="0" fillId="0" borderId="8" xfId="0" applyBorder="1" applyAlignment="1">
      <alignment horizontal="center"/>
    </xf>
    <xf numFmtId="3" fontId="0" fillId="0" borderId="1" xfId="0" applyNumberFormat="1" applyBorder="1" applyAlignment="1">
      <alignment horizontal="center"/>
    </xf>
    <xf numFmtId="0" fontId="0" fillId="0" borderId="1" xfId="0" applyFill="1" applyBorder="1" applyAlignment="1">
      <alignment vertical="center"/>
    </xf>
    <xf numFmtId="0" fontId="0" fillId="0" borderId="1" xfId="0" applyFont="1" applyBorder="1"/>
    <xf numFmtId="3" fontId="0" fillId="0" borderId="1" xfId="0" applyNumberFormat="1" applyFont="1" applyBorder="1"/>
    <xf numFmtId="3" fontId="0" fillId="0" borderId="2" xfId="0" applyNumberFormat="1" applyBorder="1"/>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16" fillId="0" borderId="22" xfId="0" applyFont="1" applyBorder="1" applyAlignment="1"/>
    <xf numFmtId="0" fontId="3" fillId="4" borderId="17" xfId="0" applyFont="1" applyFill="1" applyBorder="1" applyAlignment="1"/>
    <xf numFmtId="0" fontId="3" fillId="5" borderId="17" xfId="0" applyFont="1" applyFill="1" applyBorder="1" applyAlignment="1"/>
    <xf numFmtId="0" fontId="3" fillId="5" borderId="1" xfId="0" applyFont="1" applyFill="1" applyBorder="1"/>
    <xf numFmtId="0" fontId="16" fillId="5" borderId="13" xfId="0" applyFont="1" applyFill="1" applyBorder="1" applyAlignment="1">
      <alignment horizontal="center" vertical="center"/>
    </xf>
    <xf numFmtId="0" fontId="3" fillId="5" borderId="17" xfId="0" applyFont="1" applyFill="1" applyBorder="1"/>
    <xf numFmtId="0" fontId="3" fillId="5" borderId="1" xfId="0" applyFont="1" applyFill="1" applyBorder="1" applyAlignment="1">
      <alignment horizontal="left"/>
    </xf>
    <xf numFmtId="0" fontId="3" fillId="4" borderId="1" xfId="0" applyFont="1" applyFill="1" applyBorder="1" applyAlignment="1">
      <alignment horizontal="left" vertical="center"/>
    </xf>
    <xf numFmtId="3" fontId="0" fillId="0" borderId="1" xfId="0" applyNumberFormat="1" applyBorder="1" applyAlignment="1">
      <alignment horizontal="right"/>
    </xf>
    <xf numFmtId="165" fontId="0" fillId="0" borderId="1" xfId="0" applyNumberFormat="1" applyBorder="1" applyAlignment="1">
      <alignment horizontal="right"/>
    </xf>
    <xf numFmtId="0" fontId="0" fillId="0" borderId="0" xfId="0" applyAlignment="1">
      <alignment horizontal="left"/>
    </xf>
    <xf numFmtId="170" fontId="0" fillId="0" borderId="0" xfId="0" applyNumberFormat="1" applyAlignment="1">
      <alignment horizontal="left"/>
    </xf>
    <xf numFmtId="0" fontId="0" fillId="5" borderId="1" xfId="0" applyFill="1" applyBorder="1" applyAlignment="1">
      <alignment horizontal="left" indent="2"/>
    </xf>
    <xf numFmtId="0" fontId="0" fillId="0" borderId="1" xfId="0" applyBorder="1" applyAlignment="1">
      <alignment horizontal="left" indent="2"/>
    </xf>
    <xf numFmtId="9" fontId="0" fillId="4" borderId="1" xfId="1" applyNumberFormat="1" applyFont="1" applyFill="1" applyBorder="1" applyAlignment="1">
      <alignment horizontal="right"/>
    </xf>
    <xf numFmtId="9" fontId="0" fillId="4" borderId="1" xfId="0" applyNumberFormat="1" applyFill="1" applyBorder="1" applyAlignment="1">
      <alignment horizontal="right"/>
    </xf>
    <xf numFmtId="0" fontId="0" fillId="0" borderId="27" xfId="0" applyBorder="1" applyAlignment="1">
      <alignment horizontal="right"/>
    </xf>
    <xf numFmtId="169" fontId="0" fillId="0" borderId="0" xfId="0" applyNumberFormat="1"/>
    <xf numFmtId="0" fontId="0" fillId="0" borderId="1" xfId="0" applyBorder="1" applyAlignment="1"/>
    <xf numFmtId="0" fontId="2" fillId="0" borderId="1" xfId="0" applyFont="1" applyBorder="1" applyAlignment="1"/>
    <xf numFmtId="0" fontId="2" fillId="0" borderId="1" xfId="0" applyFont="1" applyBorder="1" applyAlignment="1">
      <alignment horizontal="center"/>
    </xf>
    <xf numFmtId="0" fontId="0" fillId="0" borderId="14" xfId="0" applyFill="1" applyBorder="1"/>
    <xf numFmtId="171" fontId="0" fillId="0" borderId="1" xfId="0" applyNumberFormat="1" applyBorder="1"/>
    <xf numFmtId="0" fontId="3" fillId="0" borderId="1" xfId="0" applyFont="1" applyBorder="1" applyAlignment="1">
      <alignment horizontal="center" vertical="center"/>
    </xf>
    <xf numFmtId="3" fontId="0" fillId="6" borderId="1" xfId="0" applyNumberFormat="1" applyFill="1" applyBorder="1" applyAlignment="1">
      <alignment horizontal="right"/>
    </xf>
    <xf numFmtId="0" fontId="0" fillId="0" borderId="1" xfId="0" applyBorder="1" applyAlignment="1">
      <alignment horizontal="left" indent="1"/>
    </xf>
    <xf numFmtId="0" fontId="0" fillId="6" borderId="1" xfId="0" applyFill="1" applyBorder="1"/>
    <xf numFmtId="2" fontId="0" fillId="0" borderId="1" xfId="0" applyNumberFormat="1" applyBorder="1"/>
    <xf numFmtId="0" fontId="0" fillId="0" borderId="12" xfId="0" applyBorder="1" applyAlignment="1">
      <alignment horizontal="right"/>
    </xf>
    <xf numFmtId="0" fontId="0" fillId="0" borderId="12" xfId="0" applyBorder="1"/>
    <xf numFmtId="0" fontId="0" fillId="0" borderId="1" xfId="0" applyBorder="1" applyAlignment="1">
      <alignment horizontal="left" indent="3"/>
    </xf>
    <xf numFmtId="0" fontId="0" fillId="0" borderId="0" xfId="0" applyAlignment="1">
      <alignment vertical="top" wrapText="1"/>
    </xf>
    <xf numFmtId="0" fontId="3" fillId="0" borderId="13" xfId="0" applyFont="1" applyBorder="1" applyAlignment="1">
      <alignment horizontal="center" vertical="center"/>
    </xf>
    <xf numFmtId="0" fontId="0" fillId="0" borderId="12" xfId="0" applyBorder="1" applyAlignment="1"/>
    <xf numFmtId="165" fontId="0" fillId="0" borderId="1" xfId="0" applyNumberFormat="1" applyBorder="1"/>
    <xf numFmtId="0" fontId="0" fillId="0" borderId="2" xfId="0" applyFill="1" applyBorder="1"/>
    <xf numFmtId="0" fontId="0" fillId="0" borderId="0" xfId="0" applyBorder="1" applyAlignment="1"/>
    <xf numFmtId="0" fontId="3" fillId="0" borderId="3" xfId="0" applyFont="1" applyBorder="1" applyAlignment="1">
      <alignment horizontal="center" vertical="center"/>
    </xf>
    <xf numFmtId="0" fontId="0" fillId="0" borderId="31" xfId="0" applyBorder="1" applyAlignment="1">
      <alignment horizontal="center" vertical="center"/>
    </xf>
    <xf numFmtId="0" fontId="0" fillId="0" borderId="31" xfId="0" applyBorder="1"/>
    <xf numFmtId="0" fontId="0" fillId="0" borderId="32" xfId="0" applyBorder="1"/>
    <xf numFmtId="0" fontId="0" fillId="0" borderId="33" xfId="0" applyBorder="1"/>
    <xf numFmtId="0" fontId="0" fillId="0" borderId="13" xfId="0" applyFont="1" applyBorder="1" applyAlignment="1">
      <alignment horizontal="center" vertical="center"/>
    </xf>
    <xf numFmtId="0" fontId="0" fillId="0" borderId="1" xfId="0" applyFont="1" applyBorder="1" applyAlignment="1">
      <alignment horizontal="center" vertical="center"/>
    </xf>
    <xf numFmtId="0" fontId="3" fillId="5" borderId="28" xfId="0" applyFont="1" applyFill="1" applyBorder="1" applyAlignment="1">
      <alignment horizontal="center" vertical="center"/>
    </xf>
    <xf numFmtId="170" fontId="0" fillId="0" borderId="1" xfId="0" applyNumberFormat="1" applyBorder="1"/>
    <xf numFmtId="0" fontId="0" fillId="0" borderId="0" xfId="0" applyAlignment="1">
      <alignment horizontal="center"/>
    </xf>
    <xf numFmtId="0" fontId="0" fillId="0" borderId="0" xfId="0" applyAlignment="1">
      <alignment vertical="top"/>
    </xf>
    <xf numFmtId="2" fontId="0" fillId="0" borderId="0" xfId="0" applyNumberFormat="1" applyAlignment="1"/>
    <xf numFmtId="166" fontId="0" fillId="0" borderId="0" xfId="0" applyNumberFormat="1" applyAlignment="1"/>
    <xf numFmtId="3" fontId="0" fillId="0" borderId="0" xfId="0" applyNumberFormat="1" applyAlignment="1"/>
    <xf numFmtId="9" fontId="0" fillId="0" borderId="0" xfId="1" applyFont="1"/>
    <xf numFmtId="0" fontId="0" fillId="0" borderId="0" xfId="0" applyBorder="1" applyAlignment="1">
      <alignment vertical="top" wrapText="1"/>
    </xf>
    <xf numFmtId="9" fontId="0" fillId="6" borderId="1" xfId="1" applyFont="1" applyFill="1" applyBorder="1" applyAlignment="1">
      <alignment horizontal="center"/>
    </xf>
    <xf numFmtId="0" fontId="0" fillId="0" borderId="5" xfId="0" applyBorder="1" applyAlignment="1">
      <alignment horizontal="left" vertical="center"/>
    </xf>
    <xf numFmtId="0" fontId="0" fillId="0" borderId="0" xfId="0" applyAlignment="1">
      <alignment horizontal="center"/>
    </xf>
    <xf numFmtId="0" fontId="3" fillId="0" borderId="1" xfId="0" applyFont="1" applyBorder="1" applyAlignment="1">
      <alignment horizontal="center"/>
    </xf>
    <xf numFmtId="49" fontId="0" fillId="0" borderId="0" xfId="0" applyNumberFormat="1"/>
    <xf numFmtId="49" fontId="8" fillId="0" borderId="0" xfId="0" applyNumberFormat="1" applyFont="1"/>
    <xf numFmtId="49" fontId="0" fillId="0" borderId="1" xfId="0" applyNumberFormat="1" applyBorder="1" applyAlignment="1">
      <alignment vertical="center" wrapText="1"/>
    </xf>
    <xf numFmtId="49" fontId="0" fillId="0" borderId="13" xfId="0" applyNumberFormat="1" applyBorder="1" applyAlignment="1">
      <alignment horizontal="left" vertical="center" wrapText="1"/>
    </xf>
    <xf numFmtId="49" fontId="9" fillId="0" borderId="14" xfId="0" applyNumberFormat="1" applyFont="1" applyBorder="1" applyAlignment="1">
      <alignment horizontal="left" vertical="center" wrapText="1"/>
    </xf>
    <xf numFmtId="49" fontId="0" fillId="0" borderId="14" xfId="0" applyNumberFormat="1" applyBorder="1" applyAlignment="1">
      <alignment horizontal="left" vertical="top" wrapText="1"/>
    </xf>
    <xf numFmtId="49" fontId="9" fillId="0" borderId="14" xfId="0" applyNumberFormat="1" applyFont="1" applyBorder="1" applyAlignment="1">
      <alignment vertical="center"/>
    </xf>
    <xf numFmtId="49" fontId="0" fillId="0" borderId="17" xfId="0" applyNumberFormat="1" applyBorder="1" applyAlignment="1">
      <alignment horizontal="left" vertical="top" wrapText="1"/>
    </xf>
    <xf numFmtId="49" fontId="8" fillId="0" borderId="0" xfId="0" applyNumberFormat="1" applyFont="1" applyAlignment="1">
      <alignment horizontal="left" vertical="center" wrapText="1"/>
    </xf>
    <xf numFmtId="49" fontId="9" fillId="0" borderId="13" xfId="0" applyNumberFormat="1" applyFont="1" applyBorder="1" applyAlignment="1">
      <alignment horizontal="left" vertical="center" wrapText="1"/>
    </xf>
    <xf numFmtId="49" fontId="0" fillId="0" borderId="0" xfId="0" applyNumberFormat="1" applyAlignment="1">
      <alignment wrapText="1"/>
    </xf>
    <xf numFmtId="49" fontId="0" fillId="0" borderId="0" xfId="0" applyNumberFormat="1" applyAlignment="1">
      <alignment horizontal="left" vertical="center" wrapText="1"/>
    </xf>
    <xf numFmtId="49" fontId="0" fillId="0" borderId="0" xfId="0" applyNumberFormat="1" applyAlignment="1">
      <alignment horizontal="left" vertical="top" wrapText="1"/>
    </xf>
    <xf numFmtId="49" fontId="0" fillId="0" borderId="14" xfId="0" applyNumberFormat="1" applyBorder="1" applyAlignment="1">
      <alignment horizontal="left" vertical="top" wrapText="1" indent="2"/>
    </xf>
    <xf numFmtId="49" fontId="0" fillId="0" borderId="17" xfId="0" applyNumberFormat="1" applyBorder="1" applyAlignment="1">
      <alignment horizontal="left" vertical="top" wrapText="1" indent="2"/>
    </xf>
    <xf numFmtId="0" fontId="3" fillId="0" borderId="5" xfId="0" applyFont="1" applyBorder="1" applyAlignment="1">
      <alignment horizontal="center" vertical="center"/>
    </xf>
    <xf numFmtId="0" fontId="3" fillId="0" borderId="23" xfId="0" applyFont="1" applyBorder="1" applyAlignment="1">
      <alignment horizontal="center"/>
    </xf>
    <xf numFmtId="0" fontId="0" fillId="0" borderId="12" xfId="0" applyBorder="1" applyAlignment="1">
      <alignment vertical="top" wrapText="1"/>
    </xf>
    <xf numFmtId="0" fontId="0" fillId="0" borderId="0" xfId="0" applyBorder="1" applyAlignment="1">
      <alignment vertical="center"/>
    </xf>
    <xf numFmtId="0" fontId="0" fillId="0" borderId="4" xfId="0" applyBorder="1" applyAlignment="1">
      <alignment horizontal="left" vertical="center"/>
    </xf>
    <xf numFmtId="0" fontId="0" fillId="0" borderId="30" xfId="0" applyFill="1" applyBorder="1" applyAlignment="1">
      <alignment vertical="center"/>
    </xf>
    <xf numFmtId="0" fontId="0" fillId="0" borderId="8" xfId="0" applyBorder="1" applyAlignment="1">
      <alignment horizontal="left" vertical="center"/>
    </xf>
    <xf numFmtId="0" fontId="0" fillId="0" borderId="1" xfId="0" applyFill="1" applyBorder="1" applyAlignment="1">
      <alignment horizontal="center" vertical="center"/>
    </xf>
    <xf numFmtId="165" fontId="0" fillId="6" borderId="1" xfId="0" applyNumberFormat="1" applyFill="1" applyBorder="1" applyAlignment="1"/>
    <xf numFmtId="3" fontId="0" fillId="0" borderId="1" xfId="0" applyNumberFormat="1" applyBorder="1" applyAlignment="1"/>
    <xf numFmtId="166" fontId="0" fillId="0" borderId="1" xfId="0" applyNumberFormat="1" applyBorder="1" applyAlignment="1"/>
    <xf numFmtId="165" fontId="0" fillId="0" borderId="2" xfId="0" applyNumberFormat="1" applyBorder="1"/>
    <xf numFmtId="4" fontId="0" fillId="0" borderId="1" xfId="0" applyNumberFormat="1" applyBorder="1"/>
    <xf numFmtId="0" fontId="3" fillId="0" borderId="1" xfId="0" applyFont="1" applyBorder="1"/>
    <xf numFmtId="3" fontId="3" fillId="0" borderId="1" xfId="0" applyNumberFormat="1" applyFont="1" applyBorder="1"/>
    <xf numFmtId="166" fontId="3" fillId="0" borderId="1" xfId="0" applyNumberFormat="1" applyFont="1" applyBorder="1"/>
    <xf numFmtId="0" fontId="0" fillId="0" borderId="0" xfId="0" applyBorder="1" applyAlignment="1">
      <alignment horizontal="center"/>
    </xf>
    <xf numFmtId="0" fontId="0" fillId="0" borderId="1" xfId="0" applyFont="1" applyBorder="1" applyAlignment="1">
      <alignment horizontal="center"/>
    </xf>
    <xf numFmtId="9" fontId="0" fillId="0" borderId="2" xfId="1" applyFont="1" applyBorder="1"/>
    <xf numFmtId="0" fontId="0" fillId="0" borderId="17" xfId="0" applyBorder="1"/>
    <xf numFmtId="0" fontId="0" fillId="0" borderId="36" xfId="0" applyBorder="1"/>
    <xf numFmtId="9" fontId="0" fillId="2" borderId="1" xfId="1" applyFont="1" applyFill="1" applyBorder="1" applyAlignment="1" applyProtection="1">
      <alignment horizontal="center"/>
      <protection locked="0"/>
    </xf>
    <xf numFmtId="0" fontId="0" fillId="2" borderId="1" xfId="0" applyFill="1" applyBorder="1" applyAlignment="1" applyProtection="1">
      <protection locked="0"/>
    </xf>
    <xf numFmtId="3" fontId="0" fillId="2" borderId="1" xfId="0" applyNumberFormat="1" applyFill="1" applyBorder="1" applyAlignment="1" applyProtection="1">
      <alignment horizontal="right"/>
      <protection locked="0"/>
    </xf>
    <xf numFmtId="1" fontId="0" fillId="2" borderId="1" xfId="0" applyNumberFormat="1" applyFill="1" applyBorder="1" applyAlignment="1" applyProtection="1">
      <alignment horizontal="right"/>
      <protection locked="0"/>
    </xf>
    <xf numFmtId="172" fontId="0" fillId="2" borderId="1" xfId="0" applyNumberFormat="1" applyFill="1" applyBorder="1" applyAlignment="1" applyProtection="1">
      <alignment horizontal="right"/>
      <protection locked="0"/>
    </xf>
    <xf numFmtId="0" fontId="0" fillId="2" borderId="1" xfId="0" applyFill="1" applyBorder="1" applyAlignment="1" applyProtection="1">
      <alignment horizontal="center"/>
      <protection locked="0"/>
    </xf>
    <xf numFmtId="165" fontId="0" fillId="2" borderId="1" xfId="0" applyNumberFormat="1" applyFill="1" applyBorder="1" applyAlignment="1" applyProtection="1">
      <alignment horizontal="center"/>
      <protection locked="0"/>
    </xf>
    <xf numFmtId="0" fontId="0" fillId="2" borderId="17" xfId="0" applyFill="1" applyBorder="1" applyAlignment="1" applyProtection="1">
      <alignment horizontal="center"/>
      <protection locked="0"/>
    </xf>
    <xf numFmtId="3" fontId="0" fillId="2" borderId="1" xfId="0" applyNumberFormat="1" applyFill="1" applyBorder="1" applyProtection="1">
      <protection locked="0"/>
    </xf>
    <xf numFmtId="9" fontId="0" fillId="2" borderId="1" xfId="1" applyFont="1" applyFill="1" applyBorder="1" applyProtection="1">
      <protection locked="0"/>
    </xf>
    <xf numFmtId="3" fontId="0" fillId="2" borderId="2" xfId="0" applyNumberFormat="1" applyFill="1" applyBorder="1" applyAlignment="1" applyProtection="1">
      <alignment horizontal="right"/>
      <protection locked="0"/>
    </xf>
    <xf numFmtId="9" fontId="0" fillId="2" borderId="1" xfId="1" applyFont="1" applyFill="1" applyBorder="1" applyAlignment="1" applyProtection="1">
      <alignment horizontal="right"/>
      <protection locked="0"/>
    </xf>
    <xf numFmtId="0" fontId="0" fillId="2" borderId="1" xfId="0" applyFill="1" applyBorder="1" applyAlignment="1" applyProtection="1">
      <alignment horizontal="right"/>
      <protection locked="0"/>
    </xf>
    <xf numFmtId="165" fontId="0" fillId="2" borderId="1" xfId="0" applyNumberFormat="1" applyFill="1" applyBorder="1" applyAlignment="1" applyProtection="1">
      <alignment horizontal="right"/>
      <protection locked="0"/>
    </xf>
    <xf numFmtId="3" fontId="0" fillId="2" borderId="2" xfId="0" applyNumberFormat="1" applyFill="1" applyBorder="1" applyProtection="1">
      <protection locked="0"/>
    </xf>
    <xf numFmtId="0" fontId="0" fillId="0" borderId="0" xfId="0" applyProtection="1">
      <protection locked="0"/>
    </xf>
    <xf numFmtId="0" fontId="0" fillId="2" borderId="2" xfId="0" applyFill="1" applyBorder="1" applyAlignment="1" applyProtection="1">
      <alignment horizontal="right"/>
      <protection locked="0"/>
    </xf>
    <xf numFmtId="0" fontId="0" fillId="0" borderId="0" xfId="0" applyProtection="1"/>
    <xf numFmtId="9" fontId="0" fillId="2" borderId="7" xfId="1" applyFont="1" applyFill="1" applyBorder="1" applyProtection="1">
      <protection locked="0"/>
    </xf>
    <xf numFmtId="0" fontId="3" fillId="2" borderId="24" xfId="0" applyFont="1" applyFill="1" applyBorder="1" applyAlignment="1" applyProtection="1">
      <alignment horizontal="center"/>
      <protection locked="0"/>
    </xf>
    <xf numFmtId="2" fontId="0" fillId="2" borderId="1" xfId="0" applyNumberFormat="1" applyFill="1" applyBorder="1" applyProtection="1">
      <protection locked="0"/>
    </xf>
    <xf numFmtId="0" fontId="0" fillId="2" borderId="1" xfId="0" applyFill="1" applyBorder="1" applyProtection="1">
      <protection locked="0"/>
    </xf>
    <xf numFmtId="167" fontId="0" fillId="2" borderId="1" xfId="1" applyNumberFormat="1" applyFont="1" applyFill="1" applyBorder="1" applyProtection="1">
      <protection locked="0"/>
    </xf>
    <xf numFmtId="165" fontId="0" fillId="2" borderId="1" xfId="0" applyNumberFormat="1" applyFill="1" applyBorder="1" applyAlignment="1" applyProtection="1">
      <alignment vertical="center"/>
      <protection locked="0"/>
    </xf>
    <xf numFmtId="165" fontId="0" fillId="2" borderId="1" xfId="0" applyNumberFormat="1" applyFill="1" applyBorder="1" applyProtection="1">
      <protection locked="0"/>
    </xf>
    <xf numFmtId="169" fontId="0" fillId="2" borderId="1" xfId="0" applyNumberFormat="1" applyFill="1" applyBorder="1" applyProtection="1">
      <protection locked="0"/>
    </xf>
    <xf numFmtId="165" fontId="0" fillId="2" borderId="7" xfId="0" applyNumberFormat="1" applyFill="1" applyBorder="1" applyAlignment="1" applyProtection="1">
      <alignment vertical="center"/>
      <protection locked="0"/>
    </xf>
    <xf numFmtId="0" fontId="0" fillId="0" borderId="0" xfId="0" applyAlignment="1" applyProtection="1">
      <alignment horizontal="right"/>
      <protection locked="0"/>
    </xf>
    <xf numFmtId="0" fontId="7" fillId="0" borderId="0" xfId="2" applyProtection="1">
      <protection locked="0"/>
    </xf>
    <xf numFmtId="0" fontId="3" fillId="0" borderId="5" xfId="0" applyFont="1" applyBorder="1" applyAlignment="1">
      <alignment horizontal="center" vertical="center" wrapText="1"/>
    </xf>
    <xf numFmtId="0" fontId="16" fillId="0" borderId="20" xfId="0" applyFont="1" applyBorder="1" applyAlignment="1">
      <alignment horizontal="center"/>
    </xf>
    <xf numFmtId="0" fontId="16" fillId="0" borderId="25" xfId="0" applyFont="1" applyBorder="1" applyAlignment="1">
      <alignment horizontal="center"/>
    </xf>
    <xf numFmtId="0" fontId="16" fillId="0" borderId="21" xfId="0" applyFont="1" applyBorder="1" applyAlignment="1">
      <alignment horizontal="center"/>
    </xf>
    <xf numFmtId="0" fontId="15" fillId="0" borderId="26" xfId="0" applyFont="1" applyBorder="1" applyAlignment="1">
      <alignment horizontal="center" vertical="center"/>
    </xf>
    <xf numFmtId="0" fontId="15" fillId="0" borderId="19" xfId="0" applyFont="1" applyBorder="1" applyAlignment="1">
      <alignment horizontal="center" vertical="center"/>
    </xf>
    <xf numFmtId="0" fontId="15" fillId="0" borderId="18"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6" xfId="0" applyFont="1" applyBorder="1" applyAlignment="1">
      <alignment horizontal="center" vertical="center"/>
    </xf>
    <xf numFmtId="0" fontId="3" fillId="4" borderId="13"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16" fillId="4" borderId="1" xfId="0" applyFont="1" applyFill="1" applyBorder="1" applyAlignment="1">
      <alignment horizontal="center" vertical="center"/>
    </xf>
    <xf numFmtId="0" fontId="16" fillId="5" borderId="13" xfId="0" applyFont="1" applyFill="1" applyBorder="1" applyAlignment="1">
      <alignment horizontal="center" vertical="center"/>
    </xf>
    <xf numFmtId="0" fontId="16" fillId="5" borderId="17"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6" xfId="0" applyFont="1" applyFill="1" applyBorder="1" applyAlignment="1">
      <alignment horizontal="center" vertical="center"/>
    </xf>
    <xf numFmtId="0" fontId="3" fillId="4" borderId="13"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1" xfId="0" applyFont="1" applyFill="1" applyBorder="1" applyAlignment="1">
      <alignment horizontal="center"/>
    </xf>
    <xf numFmtId="0" fontId="8" fillId="4" borderId="13"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3" fillId="0" borderId="13" xfId="0" applyFont="1" applyBorder="1" applyAlignment="1">
      <alignment horizontal="center" vertical="center"/>
    </xf>
    <xf numFmtId="0" fontId="3" fillId="0" borderId="17" xfId="0" applyFont="1" applyBorder="1" applyAlignment="1">
      <alignment horizontal="center" vertical="center"/>
    </xf>
    <xf numFmtId="0" fontId="3" fillId="0" borderId="1" xfId="0" applyFont="1" applyBorder="1" applyAlignment="1">
      <alignment horizontal="center"/>
    </xf>
    <xf numFmtId="0" fontId="0" fillId="7" borderId="0" xfId="0" applyFill="1" applyAlignment="1" applyProtection="1">
      <alignment horizontal="center" vertical="center" wrapText="1"/>
      <protection locked="0"/>
    </xf>
    <xf numFmtId="0" fontId="0" fillId="0" borderId="0" xfId="0" applyBorder="1" applyAlignment="1">
      <alignment horizontal="right"/>
    </xf>
    <xf numFmtId="0" fontId="0" fillId="0" borderId="0" xfId="0" applyBorder="1" applyAlignment="1">
      <alignment horizontal="left"/>
    </xf>
    <xf numFmtId="0" fontId="14" fillId="0" borderId="0" xfId="0" applyFont="1" applyAlignment="1">
      <alignment horizontal="left" vertical="top" wrapText="1"/>
    </xf>
    <xf numFmtId="0" fontId="14" fillId="0" borderId="0" xfId="0" applyFont="1" applyAlignment="1" applyProtection="1">
      <alignment horizontal="left" vertical="top" wrapText="1"/>
      <protection locked="0"/>
    </xf>
    <xf numFmtId="0" fontId="0" fillId="0" borderId="34" xfId="0" applyBorder="1" applyAlignment="1" applyProtection="1">
      <alignment horizontal="left" vertical="top" wrapText="1"/>
    </xf>
    <xf numFmtId="0" fontId="0" fillId="0" borderId="35" xfId="0" applyBorder="1" applyAlignment="1" applyProtection="1">
      <alignment horizontal="left" vertical="top" wrapText="1"/>
    </xf>
    <xf numFmtId="0" fontId="3" fillId="0" borderId="12" xfId="0" applyFont="1" applyFill="1" applyBorder="1" applyAlignment="1" applyProtection="1">
      <alignment horizontal="center" vertical="center"/>
    </xf>
    <xf numFmtId="0" fontId="0" fillId="0" borderId="12" xfId="0" applyBorder="1" applyProtection="1"/>
    <xf numFmtId="0" fontId="0" fillId="0" borderId="11" xfId="0" applyBorder="1" applyProtection="1"/>
    <xf numFmtId="0" fontId="0" fillId="0" borderId="29" xfId="0" applyBorder="1" applyAlignment="1" applyProtection="1">
      <alignment horizontal="left" vertical="top" wrapText="1"/>
    </xf>
    <xf numFmtId="0" fontId="0" fillId="0" borderId="0" xfId="0" applyAlignment="1" applyProtection="1">
      <alignment horizontal="left" vertical="top" wrapText="1"/>
    </xf>
    <xf numFmtId="0" fontId="0" fillId="0" borderId="29" xfId="0" applyBorder="1" applyAlignment="1" applyProtection="1">
      <alignment horizontal="center"/>
    </xf>
    <xf numFmtId="0" fontId="0" fillId="0" borderId="0" xfId="0" applyAlignment="1" applyProtection="1">
      <alignment horizontal="center"/>
    </xf>
    <xf numFmtId="0" fontId="3" fillId="0" borderId="11" xfId="0" applyFont="1" applyBorder="1" applyProtection="1"/>
    <xf numFmtId="0" fontId="0" fillId="0" borderId="0" xfId="0" applyAlignment="1" applyProtection="1">
      <alignment vertical="top" wrapText="1"/>
    </xf>
    <xf numFmtId="0" fontId="0" fillId="0" borderId="0" xfId="0" applyAlignment="1" applyProtection="1"/>
    <xf numFmtId="0" fontId="0" fillId="0" borderId="0" xfId="0" applyBorder="1" applyAlignment="1" applyProtection="1">
      <alignment vertical="top"/>
    </xf>
    <xf numFmtId="0" fontId="0" fillId="0" borderId="29" xfId="0" applyBorder="1" applyAlignment="1" applyProtection="1">
      <alignment vertical="top"/>
    </xf>
    <xf numFmtId="0" fontId="0" fillId="0" borderId="29" xfId="0" applyBorder="1" applyAlignment="1" applyProtection="1">
      <alignment horizontal="left" vertical="top"/>
    </xf>
    <xf numFmtId="0" fontId="0" fillId="0" borderId="0" xfId="0" applyBorder="1" applyAlignment="1" applyProtection="1">
      <alignment horizontal="left" vertical="top"/>
    </xf>
    <xf numFmtId="0" fontId="0" fillId="0" borderId="0" xfId="0" applyBorder="1" applyAlignment="1" applyProtection="1">
      <alignment vertical="top" wrapText="1"/>
    </xf>
    <xf numFmtId="0" fontId="0" fillId="0" borderId="0" xfId="0" applyBorder="1" applyAlignment="1" applyProtection="1">
      <alignment horizontal="left" vertical="top" wrapText="1"/>
    </xf>
    <xf numFmtId="0" fontId="0" fillId="0" borderId="0" xfId="0" applyBorder="1" applyAlignment="1" applyProtection="1">
      <alignment wrapText="1"/>
    </xf>
    <xf numFmtId="0" fontId="3" fillId="0" borderId="12" xfId="0" applyFont="1" applyBorder="1" applyProtection="1"/>
    <xf numFmtId="0" fontId="0" fillId="0" borderId="19" xfId="0" applyBorder="1" applyAlignment="1" applyProtection="1">
      <alignment horizontal="left" vertical="top" wrapText="1"/>
    </xf>
    <xf numFmtId="0" fontId="3" fillId="0" borderId="0" xfId="0" applyFont="1" applyProtection="1"/>
  </cellXfs>
  <cellStyles count="9">
    <cellStyle name="Euro" xfId="3" xr:uid="{00000000-0005-0000-0000-000000000000}"/>
    <cellStyle name="Komma 2" xfId="5" xr:uid="{00000000-0005-0000-0000-000001000000}"/>
    <cellStyle name="Komma 3" xfId="8" xr:uid="{00000000-0005-0000-0000-000002000000}"/>
    <cellStyle name="Link" xfId="2" builtinId="8"/>
    <cellStyle name="Link 2" xfId="4" xr:uid="{00000000-0005-0000-0000-000004000000}"/>
    <cellStyle name="Prozent" xfId="1" builtinId="5"/>
    <cellStyle name="Prozent 2" xfId="6" xr:uid="{00000000-0005-0000-0000-000006000000}"/>
    <cellStyle name="Standard" xfId="0" builtinId="0"/>
    <cellStyle name="Standard 2" xfId="7" xr:uid="{00000000-0005-0000-0000-000008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r>
              <a:rPr lang="en-US" sz="1600"/>
              <a:t>Heat demand supplied by the main heating system in kWh/a</a:t>
            </a:r>
            <a:endParaRPr lang="de-DE" sz="1600"/>
          </a:p>
        </c:rich>
      </c:tx>
      <c:layout>
        <c:manualLayout>
          <c:xMode val="edge"/>
          <c:yMode val="edge"/>
          <c:x val="0.20805225872647026"/>
          <c:y val="5.203251144271404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0.18195187485111392"/>
          <c:y val="0.20391511926672376"/>
          <c:w val="0.56050993752181932"/>
          <c:h val="0.66281924826142091"/>
        </c:manualLayout>
      </c:layout>
      <c:pieChart>
        <c:varyColors val="1"/>
        <c:ser>
          <c:idx val="0"/>
          <c:order val="0"/>
          <c:tx>
            <c:strRef>
              <c:f>'Heating system'!$B$25</c:f>
              <c:strCache>
                <c:ptCount val="1"/>
                <c:pt idx="0">
                  <c:v>Heat demad supplied by the main heating system</c:v>
                </c:pt>
              </c:strCache>
            </c:strRef>
          </c:tx>
          <c:spPr>
            <a:ln>
              <a:solidFill>
                <a:schemeClr val="tx1"/>
              </a:solidFill>
            </a:ln>
          </c:spPr>
          <c:explosion val="20"/>
          <c:dPt>
            <c:idx val="0"/>
            <c:bubble3D val="0"/>
            <c:spPr>
              <a:solidFill>
                <a:schemeClr val="accent1"/>
              </a:solidFill>
              <a:ln w="19050">
                <a:solidFill>
                  <a:schemeClr val="tx1"/>
                </a:solidFill>
              </a:ln>
              <a:effectLst/>
            </c:spPr>
            <c:extLst>
              <c:ext xmlns:c16="http://schemas.microsoft.com/office/drawing/2014/chart" uri="{C3380CC4-5D6E-409C-BE32-E72D297353CC}">
                <c16:uniqueId val="{00000003-DF9C-4A07-AD7F-83C2E63CFE15}"/>
              </c:ext>
            </c:extLst>
          </c:dPt>
          <c:dPt>
            <c:idx val="1"/>
            <c:bubble3D val="0"/>
            <c:spPr>
              <a:solidFill>
                <a:schemeClr val="accent2"/>
              </a:solidFill>
              <a:ln w="19050">
                <a:solidFill>
                  <a:schemeClr val="tx1"/>
                </a:solidFill>
              </a:ln>
              <a:effectLst/>
            </c:spPr>
            <c:extLst>
              <c:ext xmlns:c16="http://schemas.microsoft.com/office/drawing/2014/chart" uri="{C3380CC4-5D6E-409C-BE32-E72D297353CC}">
                <c16:uniqueId val="{00000002-DF9C-4A07-AD7F-83C2E63CFE15}"/>
              </c:ext>
            </c:extLst>
          </c:dPt>
          <c:dLbls>
            <c:spPr>
              <a:noFill/>
              <a:ln>
                <a:noFill/>
              </a:ln>
              <a:effectLst/>
            </c:spPr>
            <c:txPr>
              <a:bodyPr rot="0" spcFirstLastPara="1" vertOverflow="ellipsis" vert="horz" wrap="square" anchor="ctr" anchorCtr="1"/>
              <a:lstStyle/>
              <a:p>
                <a:pPr>
                  <a:defRPr sz="14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'Heating system'!$B$26:$B$27</c:f>
              <c:strCache>
                <c:ptCount val="2"/>
                <c:pt idx="0">
                  <c:v>Heat demand for hot water preparation</c:v>
                </c:pt>
                <c:pt idx="1">
                  <c:v>Heat demand for heating purposes</c:v>
                </c:pt>
              </c:strCache>
            </c:strRef>
          </c:cat>
          <c:val>
            <c:numRef>
              <c:f>'Heating system'!$D$26:$D$27</c:f>
              <c:numCache>
                <c:formatCode>#,##0</c:formatCode>
                <c:ptCount val="2"/>
                <c:pt idx="0">
                  <c:v>1000</c:v>
                </c:pt>
                <c:pt idx="1">
                  <c:v>18720</c:v>
                </c:pt>
              </c:numCache>
            </c:numRef>
          </c:val>
          <c:extLst>
            <c:ext xmlns:c16="http://schemas.microsoft.com/office/drawing/2014/chart" uri="{C3380CC4-5D6E-409C-BE32-E72D297353CC}">
              <c16:uniqueId val="{00000000-DF9C-4A07-AD7F-83C2E63CFE15}"/>
            </c:ext>
          </c:extLst>
        </c:ser>
        <c:dLbls>
          <c:showLegendKey val="0"/>
          <c:showVal val="0"/>
          <c:showCatName val="0"/>
          <c:showSerName val="0"/>
          <c:showPercent val="0"/>
          <c:showBubbleSize val="0"/>
          <c:showLeaderLines val="1"/>
        </c:dLbls>
        <c:firstSliceAng val="7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lumMod val="65000"/>
                    <a:lumOff val="35000"/>
                  </a:schemeClr>
                </a:solidFill>
                <a:latin typeface="+mn-lt"/>
                <a:ea typeface="+mn-ea"/>
                <a:cs typeface="+mn-cs"/>
              </a:defRPr>
            </a:pPr>
            <a:r>
              <a:rPr lang="de-DE" baseline="0"/>
              <a:t>Annual heating costs and effective heat costs</a:t>
            </a:r>
            <a:endParaRPr lang="de-DE"/>
          </a:p>
        </c:rich>
      </c:tx>
      <c:overlay val="0"/>
      <c:spPr>
        <a:noFill/>
        <a:ln>
          <a:noFill/>
        </a:ln>
        <a:effectLst/>
      </c:spPr>
      <c:txPr>
        <a:bodyPr rot="0" spcFirstLastPara="1" vertOverflow="ellipsis" vert="horz" wrap="square" anchor="ctr" anchorCtr="1"/>
        <a:lstStyle/>
        <a:p>
          <a:pPr>
            <a:defRPr sz="126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stacked"/>
        <c:varyColors val="0"/>
        <c:ser>
          <c:idx val="1"/>
          <c:order val="1"/>
          <c:tx>
            <c:strRef>
              <c:f>Results!$A$9</c:f>
              <c:strCache>
                <c:ptCount val="1"/>
                <c:pt idx="0">
                  <c:v>Fixed costs</c:v>
                </c:pt>
              </c:strCache>
            </c:strRef>
          </c:tx>
          <c:spPr>
            <a:solidFill>
              <a:schemeClr val="accent6"/>
            </a:solidFill>
            <a:ln>
              <a:solidFill>
                <a:schemeClr val="tx1"/>
              </a:solidFill>
            </a:ln>
            <a:effectLst/>
          </c:spPr>
          <c:invertIfNegative val="0"/>
          <c:dLbls>
            <c:dLbl>
              <c:idx val="0"/>
              <c:tx>
                <c:rich>
                  <a:bodyPr/>
                  <a:lstStyle/>
                  <a:p>
                    <a:fld id="{26D744C4-8CDA-4A6B-BE8B-43B7EB240BBD}" type="CELLRANGE">
                      <a:rPr lang="en-US"/>
                      <a:pPr/>
                      <a:t>[ZELLBEREICH]</a:t>
                    </a:fld>
                    <a:r>
                      <a:rPr lang="en-US" baseline="0"/>
                      <a:t>; </a:t>
                    </a:r>
                    <a:fld id="{7F373341-3242-446C-AF72-C6EF68326288}"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A5F4-48A4-9BC6-30E2EFF7E18E}"/>
                </c:ext>
              </c:extLst>
            </c:dLbl>
            <c:dLbl>
              <c:idx val="1"/>
              <c:tx>
                <c:rich>
                  <a:bodyPr/>
                  <a:lstStyle/>
                  <a:p>
                    <a:fld id="{69065CDC-3119-4FFD-BC1A-38A9484FC77A}" type="CELLRANGE">
                      <a:rPr lang="en-US"/>
                      <a:pPr/>
                      <a:t>[ZELLBEREICH]</a:t>
                    </a:fld>
                    <a:r>
                      <a:rPr lang="en-US" baseline="0"/>
                      <a:t>; </a:t>
                    </a:r>
                    <a:fld id="{546106B0-31D4-4A99-BC47-3E061E094B58}"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A5F4-48A4-9BC6-30E2EFF7E18E}"/>
                </c:ext>
              </c:extLst>
            </c:dLbl>
            <c:dLbl>
              <c:idx val="2"/>
              <c:tx>
                <c:rich>
                  <a:bodyPr/>
                  <a:lstStyle/>
                  <a:p>
                    <a:fld id="{9FD2EF7C-042D-4401-8D0D-ECF29216406D}" type="CELLRANGE">
                      <a:rPr lang="en-US"/>
                      <a:pPr/>
                      <a:t>[ZELLBEREICH]</a:t>
                    </a:fld>
                    <a:r>
                      <a:rPr lang="en-US" baseline="0"/>
                      <a:t>; </a:t>
                    </a:r>
                    <a:fld id="{2E06E254-C3D8-45E2-BB63-846B94767017}"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A5F4-48A4-9BC6-30E2EFF7E18E}"/>
                </c:ext>
              </c:extLst>
            </c:dLbl>
            <c:dLbl>
              <c:idx val="3"/>
              <c:tx>
                <c:rich>
                  <a:bodyPr/>
                  <a:lstStyle/>
                  <a:p>
                    <a:fld id="{B507E118-C309-4ABE-9C28-0DD1A1783E4E}" type="CELLRANGE">
                      <a:rPr lang="en-US"/>
                      <a:pPr/>
                      <a:t>[ZELLBEREICH]</a:t>
                    </a:fld>
                    <a:r>
                      <a:rPr lang="en-US" baseline="0"/>
                      <a:t>; </a:t>
                    </a:r>
                    <a:fld id="{6DD12610-7807-4AF3-A385-308D6138BA6A}"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A5F4-48A4-9BC6-30E2EFF7E18E}"/>
                </c:ext>
              </c:extLst>
            </c:dLbl>
            <c:dLbl>
              <c:idx val="4"/>
              <c:tx>
                <c:rich>
                  <a:bodyPr/>
                  <a:lstStyle/>
                  <a:p>
                    <a:fld id="{41FC7CBE-D1F3-4F84-A8EC-D7D3C9B0FAF7}" type="CELLRANGE">
                      <a:rPr lang="en-US"/>
                      <a:pPr/>
                      <a:t>[ZELLBEREICH]</a:t>
                    </a:fld>
                    <a:r>
                      <a:rPr lang="en-US" baseline="0"/>
                      <a:t>; </a:t>
                    </a:r>
                    <a:fld id="{6AF5B91F-952E-4E1A-8F78-E70AD8D69EDC}"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A5F4-48A4-9BC6-30E2EFF7E18E}"/>
                </c:ext>
              </c:extLst>
            </c:dLbl>
            <c:dLbl>
              <c:idx val="5"/>
              <c:tx>
                <c:rich>
                  <a:bodyPr/>
                  <a:lstStyle/>
                  <a:p>
                    <a:fld id="{4E76CEE5-885C-4519-BE05-F0CEB2E24F42}" type="CELLRANGE">
                      <a:rPr lang="en-US"/>
                      <a:pPr/>
                      <a:t>[ZELLBEREICH]</a:t>
                    </a:fld>
                    <a:r>
                      <a:rPr lang="en-US" baseline="0"/>
                      <a:t>; </a:t>
                    </a:r>
                    <a:fld id="{4F70592F-F94B-4316-9C21-5DA9D152E253}"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A5F4-48A4-9BC6-30E2EFF7E18E}"/>
                </c:ext>
              </c:extLst>
            </c:dLbl>
            <c:dLbl>
              <c:idx val="6"/>
              <c:tx>
                <c:rich>
                  <a:bodyPr/>
                  <a:lstStyle/>
                  <a:p>
                    <a:fld id="{B1DE535F-B67D-45DA-AE3F-CA917D7CAB4E}" type="CELLRANGE">
                      <a:rPr lang="en-US"/>
                      <a:pPr/>
                      <a:t>[ZELLBEREICH]</a:t>
                    </a:fld>
                    <a:r>
                      <a:rPr lang="en-US" baseline="0"/>
                      <a:t>; </a:t>
                    </a:r>
                    <a:fld id="{2B1A981A-D19C-4946-8607-A4863BF1EF78}"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A5F4-48A4-9BC6-30E2EFF7E18E}"/>
                </c:ext>
              </c:extLst>
            </c:dLbl>
            <c:dLbl>
              <c:idx val="7"/>
              <c:tx>
                <c:rich>
                  <a:bodyPr/>
                  <a:lstStyle/>
                  <a:p>
                    <a:fld id="{36B86F2F-ED7B-4E5B-B4E8-76FED0B24E5B}" type="CELLRANGE">
                      <a:rPr lang="en-US"/>
                      <a:pPr/>
                      <a:t>[ZELLBEREICH]</a:t>
                    </a:fld>
                    <a:r>
                      <a:rPr lang="en-US" baseline="0"/>
                      <a:t>; </a:t>
                    </a:r>
                    <a:fld id="{66C1C05C-BF1C-4890-9FEB-0E4917589480}"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A5F4-48A4-9BC6-30E2EFF7E18E}"/>
                </c:ext>
              </c:extLst>
            </c:dLbl>
            <c:dLbl>
              <c:idx val="8"/>
              <c:tx>
                <c:rich>
                  <a:bodyPr/>
                  <a:lstStyle/>
                  <a:p>
                    <a:fld id="{03D1CD83-EBBD-4052-88F6-2BAF253F85F6}" type="CELLRANGE">
                      <a:rPr lang="en-US"/>
                      <a:pPr/>
                      <a:t>[ZELLBEREICH]</a:t>
                    </a:fld>
                    <a:r>
                      <a:rPr lang="en-US" baseline="0"/>
                      <a:t>; </a:t>
                    </a:r>
                    <a:fld id="{1D5E7179-5EB1-4E6F-9858-8E58A50420F8}"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A5F4-48A4-9BC6-30E2EFF7E18E}"/>
                </c:ext>
              </c:extLst>
            </c:dLbl>
            <c:dLbl>
              <c:idx val="9"/>
              <c:tx>
                <c:rich>
                  <a:bodyPr/>
                  <a:lstStyle/>
                  <a:p>
                    <a:fld id="{C303351E-164F-4B88-B37D-FB13B33FC113}" type="CELLRANGE">
                      <a:rPr lang="en-US"/>
                      <a:pPr/>
                      <a:t>[ZELLBEREICH]</a:t>
                    </a:fld>
                    <a:r>
                      <a:rPr lang="en-US" baseline="0"/>
                      <a:t>; </a:t>
                    </a:r>
                    <a:fld id="{6FC67BD2-BF57-4B68-A144-947558B09E4C}"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A5F4-48A4-9BC6-30E2EFF7E18E}"/>
                </c:ext>
              </c:extLst>
            </c:dLbl>
            <c:dLbl>
              <c:idx val="10"/>
              <c:tx>
                <c:rich>
                  <a:bodyPr/>
                  <a:lstStyle/>
                  <a:p>
                    <a:fld id="{30199595-EB94-4AEE-818E-6D3C0CADFE46}" type="CELLRANGE">
                      <a:rPr lang="en-US"/>
                      <a:pPr/>
                      <a:t>[ZELLBEREICH]</a:t>
                    </a:fld>
                    <a:r>
                      <a:rPr lang="en-US" baseline="0"/>
                      <a:t>; </a:t>
                    </a:r>
                    <a:fld id="{123EF5B7-F80F-4B3E-80EE-9DF1CBD8A904}"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A5F4-48A4-9BC6-30E2EFF7E18E}"/>
                </c:ext>
              </c:extLst>
            </c:dLbl>
            <c:dLbl>
              <c:idx val="11"/>
              <c:tx>
                <c:rich>
                  <a:bodyPr/>
                  <a:lstStyle/>
                  <a:p>
                    <a:fld id="{80FD805F-6122-4F25-8576-72E642495913}" type="CELLRANGE">
                      <a:rPr lang="en-US"/>
                      <a:pPr/>
                      <a:t>[ZELLBEREICH]</a:t>
                    </a:fld>
                    <a:r>
                      <a:rPr lang="en-US" baseline="0"/>
                      <a:t>; </a:t>
                    </a:r>
                    <a:fld id="{47410074-77B0-45D7-ACEA-5DE84B8C2560}"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937E-40A6-BA47-D3CA3D934307}"/>
                </c:ext>
              </c:extLst>
            </c:dLbl>
            <c:spPr>
              <a:solidFill>
                <a:schemeClr val="bg1">
                  <a:alpha val="80000"/>
                </a:schemeClr>
              </a:solidFill>
              <a:ln>
                <a:solidFill>
                  <a:schemeClr val="tx1"/>
                </a:solidFill>
              </a:ln>
              <a:effectLst/>
            </c:spPr>
            <c:txPr>
              <a:bodyPr rot="0" spcFirstLastPara="1" vertOverflow="ellipsis" vert="horz" wrap="square" anchor="ctr" anchorCtr="1"/>
              <a:lstStyle/>
              <a:p>
                <a:pPr>
                  <a:defRPr sz="105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Results!$C$5:$N$6</c:f>
              <c:strCache>
                <c:ptCount val="12"/>
                <c:pt idx="0">
                  <c:v>Existing heating system</c:v>
                </c:pt>
                <c:pt idx="1">
                  <c:v>DH system</c:v>
                </c:pt>
                <c:pt idx="2">
                  <c:v>Natural gas boiler</c:v>
                </c:pt>
                <c:pt idx="3">
                  <c:v>Oil boiler</c:v>
                </c:pt>
                <c:pt idx="4">
                  <c:v>Coal boiler</c:v>
                </c:pt>
                <c:pt idx="5">
                  <c:v>Pellets boiler</c:v>
                </c:pt>
                <c:pt idx="6">
                  <c:v>Electric boiler</c:v>
                </c:pt>
                <c:pt idx="7">
                  <c:v>Electrical heaters</c:v>
                </c:pt>
                <c:pt idx="8">
                  <c:v>Log wood boiler</c:v>
                </c:pt>
                <c:pt idx="9">
                  <c:v>Wood chips boiler</c:v>
                </c:pt>
                <c:pt idx="10">
                  <c:v>Heat pump</c:v>
                </c:pt>
                <c:pt idx="11">
                  <c:v>Condensing boiler</c:v>
                </c:pt>
              </c:strCache>
            </c:strRef>
          </c:cat>
          <c:val>
            <c:numRef>
              <c:f>Results!$C$9:$N$9</c:f>
              <c:numCache>
                <c:formatCode>#,##0</c:formatCode>
                <c:ptCount val="12"/>
                <c:pt idx="0">
                  <c:v>818.17655408305507</c:v>
                </c:pt>
                <c:pt idx="1">
                  <c:v>605</c:v>
                </c:pt>
                <c:pt idx="2">
                  <c:v>542.11880256443601</c:v>
                </c:pt>
                <c:pt idx="3">
                  <c:v>734.77988412110278</c:v>
                </c:pt>
                <c:pt idx="4">
                  <c:v>526.70223657342046</c:v>
                </c:pt>
                <c:pt idx="5">
                  <c:v>1175.1276664957841</c:v>
                </c:pt>
                <c:pt idx="6">
                  <c:v>373.7</c:v>
                </c:pt>
                <c:pt idx="7">
                  <c:v>87</c:v>
                </c:pt>
                <c:pt idx="8">
                  <c:v>880.82909568525065</c:v>
                </c:pt>
                <c:pt idx="9">
                  <c:v>1790.0746712575499</c:v>
                </c:pt>
                <c:pt idx="10">
                  <c:v>1229.7216111137484</c:v>
                </c:pt>
                <c:pt idx="11">
                  <c:v>651.5147699787849</c:v>
                </c:pt>
              </c:numCache>
            </c:numRef>
          </c:val>
          <c:extLst>
            <c:ext xmlns:c15="http://schemas.microsoft.com/office/drawing/2012/chart" uri="{02D57815-91ED-43cb-92C2-25804820EDAC}">
              <c15:datalabelsRange>
                <c15:f>Results!$C$11:$N$11</c15:f>
                <c15:dlblRangeCache>
                  <c:ptCount val="12"/>
                  <c:pt idx="0">
                    <c:v>26%</c:v>
                  </c:pt>
                  <c:pt idx="1">
                    <c:v>32%</c:v>
                  </c:pt>
                  <c:pt idx="2">
                    <c:v>28%</c:v>
                  </c:pt>
                  <c:pt idx="3">
                    <c:v>27%</c:v>
                  </c:pt>
                  <c:pt idx="4">
                    <c:v>17%</c:v>
                  </c:pt>
                  <c:pt idx="5">
                    <c:v>47%</c:v>
                  </c:pt>
                  <c:pt idx="6">
                    <c:v>10%</c:v>
                  </c:pt>
                  <c:pt idx="7">
                    <c:v>3%</c:v>
                  </c:pt>
                  <c:pt idx="8">
                    <c:v>46%</c:v>
                  </c:pt>
                  <c:pt idx="9">
                    <c:v>66%</c:v>
                  </c:pt>
                  <c:pt idx="10">
                    <c:v>56%</c:v>
                  </c:pt>
                  <c:pt idx="11">
                    <c:v>35%</c:v>
                  </c:pt>
                </c15:dlblRangeCache>
              </c15:datalabelsRange>
            </c:ext>
            <c:ext xmlns:c16="http://schemas.microsoft.com/office/drawing/2014/chart" uri="{C3380CC4-5D6E-409C-BE32-E72D297353CC}">
              <c16:uniqueId val="{00000003-A5F4-48A4-9BC6-30E2EFF7E18E}"/>
            </c:ext>
          </c:extLst>
        </c:ser>
        <c:ser>
          <c:idx val="2"/>
          <c:order val="2"/>
          <c:tx>
            <c:strRef>
              <c:f>Results!$A$8</c:f>
              <c:strCache>
                <c:ptCount val="1"/>
                <c:pt idx="0">
                  <c:v>Variable costs</c:v>
                </c:pt>
              </c:strCache>
            </c:strRef>
          </c:tx>
          <c:spPr>
            <a:solidFill>
              <a:schemeClr val="accent2"/>
            </a:solidFill>
            <a:ln>
              <a:solidFill>
                <a:schemeClr val="tx1"/>
              </a:solidFill>
            </a:ln>
            <a:effectLst/>
          </c:spPr>
          <c:invertIfNegative val="0"/>
          <c:dLbls>
            <c:dLbl>
              <c:idx val="0"/>
              <c:tx>
                <c:rich>
                  <a:bodyPr/>
                  <a:lstStyle/>
                  <a:p>
                    <a:fld id="{E5FE2802-E691-4174-95EF-A46ABF0D326E}" type="CELLRANGE">
                      <a:rPr lang="en-US"/>
                      <a:pPr/>
                      <a:t>[ZELLBEREICH]</a:t>
                    </a:fld>
                    <a:r>
                      <a:rPr lang="en-US" baseline="0"/>
                      <a:t>; </a:t>
                    </a:r>
                    <a:fld id="{E90D9B5A-99C1-4345-BC19-57EC27CD1D8B}"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A5F4-48A4-9BC6-30E2EFF7E18E}"/>
                </c:ext>
              </c:extLst>
            </c:dLbl>
            <c:dLbl>
              <c:idx val="1"/>
              <c:tx>
                <c:rich>
                  <a:bodyPr/>
                  <a:lstStyle/>
                  <a:p>
                    <a:fld id="{B91E2A30-39D8-493A-B983-5F0E95C01F5F}" type="CELLRANGE">
                      <a:rPr lang="en-US"/>
                      <a:pPr/>
                      <a:t>[ZELLBEREICH]</a:t>
                    </a:fld>
                    <a:r>
                      <a:rPr lang="en-US" baseline="0"/>
                      <a:t>; </a:t>
                    </a:r>
                    <a:fld id="{C613AC49-79E0-4C54-BC2C-527AE2BDA41C}"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A5F4-48A4-9BC6-30E2EFF7E18E}"/>
                </c:ext>
              </c:extLst>
            </c:dLbl>
            <c:dLbl>
              <c:idx val="2"/>
              <c:tx>
                <c:rich>
                  <a:bodyPr/>
                  <a:lstStyle/>
                  <a:p>
                    <a:fld id="{D1210CCE-9A94-47F5-911D-63FA71A3D300}" type="CELLRANGE">
                      <a:rPr lang="en-US"/>
                      <a:pPr/>
                      <a:t>[ZELLBEREICH]</a:t>
                    </a:fld>
                    <a:r>
                      <a:rPr lang="en-US" baseline="0"/>
                      <a:t>; </a:t>
                    </a:r>
                    <a:fld id="{2B1E71FB-FCA0-4785-9F74-9D4AA5AA95C7}"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A5F4-48A4-9BC6-30E2EFF7E18E}"/>
                </c:ext>
              </c:extLst>
            </c:dLbl>
            <c:dLbl>
              <c:idx val="3"/>
              <c:tx>
                <c:rich>
                  <a:bodyPr/>
                  <a:lstStyle/>
                  <a:p>
                    <a:fld id="{AADD53A4-8078-4F88-ABAB-6599D9FE88B6}" type="CELLRANGE">
                      <a:rPr lang="en-US"/>
                      <a:pPr/>
                      <a:t>[ZELLBEREICH]</a:t>
                    </a:fld>
                    <a:r>
                      <a:rPr lang="en-US" baseline="0"/>
                      <a:t>; </a:t>
                    </a:r>
                    <a:fld id="{591DE6AB-1778-45E2-A2E1-5B583D1AD7D2}"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A5F4-48A4-9BC6-30E2EFF7E18E}"/>
                </c:ext>
              </c:extLst>
            </c:dLbl>
            <c:dLbl>
              <c:idx val="4"/>
              <c:tx>
                <c:rich>
                  <a:bodyPr/>
                  <a:lstStyle/>
                  <a:p>
                    <a:fld id="{FDCBB2DD-0950-4E0F-BF08-57945C97A1A8}" type="CELLRANGE">
                      <a:rPr lang="en-US"/>
                      <a:pPr/>
                      <a:t>[ZELLBEREICH]</a:t>
                    </a:fld>
                    <a:r>
                      <a:rPr lang="en-US" baseline="0"/>
                      <a:t>; </a:t>
                    </a:r>
                    <a:fld id="{6304CBB7-6D8D-4DAB-95E8-245674BCCE1F}"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A5F4-48A4-9BC6-30E2EFF7E18E}"/>
                </c:ext>
              </c:extLst>
            </c:dLbl>
            <c:dLbl>
              <c:idx val="5"/>
              <c:tx>
                <c:rich>
                  <a:bodyPr/>
                  <a:lstStyle/>
                  <a:p>
                    <a:fld id="{6398584C-C4D3-45F3-8544-C747035F08E1}" type="CELLRANGE">
                      <a:rPr lang="en-US"/>
                      <a:pPr/>
                      <a:t>[ZELLBEREICH]</a:t>
                    </a:fld>
                    <a:r>
                      <a:rPr lang="en-US" baseline="0"/>
                      <a:t>; </a:t>
                    </a:r>
                    <a:fld id="{68B57928-67DE-4A7B-AC80-A2508D94E65E}"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A5F4-48A4-9BC6-30E2EFF7E18E}"/>
                </c:ext>
              </c:extLst>
            </c:dLbl>
            <c:dLbl>
              <c:idx val="6"/>
              <c:tx>
                <c:rich>
                  <a:bodyPr/>
                  <a:lstStyle/>
                  <a:p>
                    <a:fld id="{8F344E38-AA43-4F3B-9F60-C739B0AD5AC0}" type="CELLRANGE">
                      <a:rPr lang="en-US"/>
                      <a:pPr/>
                      <a:t>[ZELLBEREICH]</a:t>
                    </a:fld>
                    <a:r>
                      <a:rPr lang="en-US" baseline="0"/>
                      <a:t>; </a:t>
                    </a:r>
                    <a:fld id="{E3AF2FB9-E9E0-48E4-A01F-3474F08769E9}"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A5F4-48A4-9BC6-30E2EFF7E18E}"/>
                </c:ext>
              </c:extLst>
            </c:dLbl>
            <c:dLbl>
              <c:idx val="7"/>
              <c:tx>
                <c:rich>
                  <a:bodyPr/>
                  <a:lstStyle/>
                  <a:p>
                    <a:fld id="{43A9D2B2-2A50-405D-8A99-00AB092CA2D6}" type="CELLRANGE">
                      <a:rPr lang="en-US"/>
                      <a:pPr/>
                      <a:t>[ZELLBEREICH]</a:t>
                    </a:fld>
                    <a:r>
                      <a:rPr lang="en-US" baseline="0"/>
                      <a:t>; </a:t>
                    </a:r>
                    <a:fld id="{B65FE3ED-C94A-4FE4-98C2-C181FFB3D4D4}"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A5F4-48A4-9BC6-30E2EFF7E18E}"/>
                </c:ext>
              </c:extLst>
            </c:dLbl>
            <c:dLbl>
              <c:idx val="8"/>
              <c:tx>
                <c:rich>
                  <a:bodyPr/>
                  <a:lstStyle/>
                  <a:p>
                    <a:fld id="{8F426B1D-FC82-48F5-8FD4-B25B8F376414}" type="CELLRANGE">
                      <a:rPr lang="en-US"/>
                      <a:pPr/>
                      <a:t>[ZELLBEREICH]</a:t>
                    </a:fld>
                    <a:r>
                      <a:rPr lang="en-US" baseline="0"/>
                      <a:t>; </a:t>
                    </a:r>
                    <a:fld id="{0AE5120B-106D-401A-9CC8-50A205AE523D}"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A5F4-48A4-9BC6-30E2EFF7E18E}"/>
                </c:ext>
              </c:extLst>
            </c:dLbl>
            <c:dLbl>
              <c:idx val="9"/>
              <c:tx>
                <c:rich>
                  <a:bodyPr/>
                  <a:lstStyle/>
                  <a:p>
                    <a:fld id="{1D2DA553-2D3E-4FC6-9239-66405B45D03B}" type="CELLRANGE">
                      <a:rPr lang="en-US"/>
                      <a:pPr/>
                      <a:t>[ZELLBEREICH]</a:t>
                    </a:fld>
                    <a:r>
                      <a:rPr lang="en-US" baseline="0"/>
                      <a:t>; </a:t>
                    </a:r>
                    <a:fld id="{4527D190-4385-4C6C-B8F6-B9C2B1BCF7E8}"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A5F4-48A4-9BC6-30E2EFF7E18E}"/>
                </c:ext>
              </c:extLst>
            </c:dLbl>
            <c:dLbl>
              <c:idx val="10"/>
              <c:tx>
                <c:rich>
                  <a:bodyPr/>
                  <a:lstStyle/>
                  <a:p>
                    <a:fld id="{FC57D062-32AF-43F5-A681-E052769F08BA}" type="CELLRANGE">
                      <a:rPr lang="en-US"/>
                      <a:pPr/>
                      <a:t>[ZELLBEREICH]</a:t>
                    </a:fld>
                    <a:r>
                      <a:rPr lang="en-US" baseline="0"/>
                      <a:t>; </a:t>
                    </a:r>
                    <a:fld id="{44E26AFB-F0D1-4FCF-B683-06738A36DB52}"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A5F4-48A4-9BC6-30E2EFF7E18E}"/>
                </c:ext>
              </c:extLst>
            </c:dLbl>
            <c:dLbl>
              <c:idx val="11"/>
              <c:tx>
                <c:rich>
                  <a:bodyPr/>
                  <a:lstStyle/>
                  <a:p>
                    <a:fld id="{F282186C-C60A-4D97-97FD-94D2029FF173}" type="CELLRANGE">
                      <a:rPr lang="en-US"/>
                      <a:pPr/>
                      <a:t>[ZELLBEREICH]</a:t>
                    </a:fld>
                    <a:r>
                      <a:rPr lang="en-US" baseline="0"/>
                      <a:t>; </a:t>
                    </a:r>
                    <a:fld id="{0A6167D4-58A6-478B-B2A4-07A9FDFED58A}" type="VALUE">
                      <a:rPr lang="en-US" baseline="0"/>
                      <a:pPr/>
                      <a:t>[WERT]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937E-40A6-BA47-D3CA3D934307}"/>
                </c:ext>
              </c:extLst>
            </c:dLbl>
            <c:spPr>
              <a:solidFill>
                <a:schemeClr val="bg1">
                  <a:alpha val="80000"/>
                </a:schemeClr>
              </a:solidFill>
              <a:ln>
                <a:solidFill>
                  <a:schemeClr val="tx1"/>
                </a:solidFill>
              </a:ln>
              <a:effectLst/>
            </c:spPr>
            <c:txPr>
              <a:bodyPr rot="0" spcFirstLastPara="1" vertOverflow="ellipsis" vert="horz" wrap="square" anchor="ctr" anchorCtr="1"/>
              <a:lstStyle/>
              <a:p>
                <a:pPr>
                  <a:defRPr sz="105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Results!$C$5:$N$6</c:f>
              <c:strCache>
                <c:ptCount val="12"/>
                <c:pt idx="0">
                  <c:v>Existing heating system</c:v>
                </c:pt>
                <c:pt idx="1">
                  <c:v>DH system</c:v>
                </c:pt>
                <c:pt idx="2">
                  <c:v>Natural gas boiler</c:v>
                </c:pt>
                <c:pt idx="3">
                  <c:v>Oil boiler</c:v>
                </c:pt>
                <c:pt idx="4">
                  <c:v>Coal boiler</c:v>
                </c:pt>
                <c:pt idx="5">
                  <c:v>Pellets boiler</c:v>
                </c:pt>
                <c:pt idx="6">
                  <c:v>Electric boiler</c:v>
                </c:pt>
                <c:pt idx="7">
                  <c:v>Electrical heaters</c:v>
                </c:pt>
                <c:pt idx="8">
                  <c:v>Log wood boiler</c:v>
                </c:pt>
                <c:pt idx="9">
                  <c:v>Wood chips boiler</c:v>
                </c:pt>
                <c:pt idx="10">
                  <c:v>Heat pump</c:v>
                </c:pt>
                <c:pt idx="11">
                  <c:v>Condensing boiler</c:v>
                </c:pt>
              </c:strCache>
            </c:strRef>
          </c:cat>
          <c:val>
            <c:numRef>
              <c:f>Results!$C$8:$N$8</c:f>
              <c:numCache>
                <c:formatCode>#,##0</c:formatCode>
                <c:ptCount val="12"/>
                <c:pt idx="0">
                  <c:v>2320</c:v>
                </c:pt>
                <c:pt idx="1">
                  <c:v>1281.8</c:v>
                </c:pt>
                <c:pt idx="2">
                  <c:v>1367.544047032284</c:v>
                </c:pt>
                <c:pt idx="3">
                  <c:v>1946.5230380157959</c:v>
                </c:pt>
                <c:pt idx="4">
                  <c:v>2533.9353157602081</c:v>
                </c:pt>
                <c:pt idx="5">
                  <c:v>1300.3827411302059</c:v>
                </c:pt>
                <c:pt idx="6">
                  <c:v>3418.6434963652346</c:v>
                </c:pt>
                <c:pt idx="7">
                  <c:v>3238.7148912933803</c:v>
                </c:pt>
                <c:pt idx="8">
                  <c:v>1045.6560611238688</c:v>
                </c:pt>
                <c:pt idx="9">
                  <c:v>911.70512061322211</c:v>
                </c:pt>
                <c:pt idx="10">
                  <c:v>961.49348335272202</c:v>
                </c:pt>
                <c:pt idx="11">
                  <c:v>1215.5947084731413</c:v>
                </c:pt>
              </c:numCache>
            </c:numRef>
          </c:val>
          <c:extLst>
            <c:ext xmlns:c15="http://schemas.microsoft.com/office/drawing/2012/chart" uri="{02D57815-91ED-43cb-92C2-25804820EDAC}">
              <c15:datalabelsRange>
                <c15:f>Results!$C$12:$N$12</c15:f>
                <c15:dlblRangeCache>
                  <c:ptCount val="12"/>
                  <c:pt idx="0">
                    <c:v>74%</c:v>
                  </c:pt>
                  <c:pt idx="1">
                    <c:v>68%</c:v>
                  </c:pt>
                  <c:pt idx="2">
                    <c:v>72%</c:v>
                  </c:pt>
                  <c:pt idx="3">
                    <c:v>73%</c:v>
                  </c:pt>
                  <c:pt idx="4">
                    <c:v>83%</c:v>
                  </c:pt>
                  <c:pt idx="5">
                    <c:v>53%</c:v>
                  </c:pt>
                  <c:pt idx="6">
                    <c:v>90%</c:v>
                  </c:pt>
                  <c:pt idx="7">
                    <c:v>97%</c:v>
                  </c:pt>
                  <c:pt idx="8">
                    <c:v>54%</c:v>
                  </c:pt>
                  <c:pt idx="9">
                    <c:v>34%</c:v>
                  </c:pt>
                  <c:pt idx="10">
                    <c:v>44%</c:v>
                  </c:pt>
                  <c:pt idx="11">
                    <c:v>65%</c:v>
                  </c:pt>
                </c15:dlblRangeCache>
              </c15:datalabelsRange>
            </c:ext>
            <c:ext xmlns:c16="http://schemas.microsoft.com/office/drawing/2014/chart" uri="{C3380CC4-5D6E-409C-BE32-E72D297353CC}">
              <c16:uniqueId val="{00000004-A5F4-48A4-9BC6-30E2EFF7E18E}"/>
            </c:ext>
          </c:extLst>
        </c:ser>
        <c:dLbls>
          <c:showLegendKey val="0"/>
          <c:showVal val="0"/>
          <c:showCatName val="0"/>
          <c:showSerName val="0"/>
          <c:showPercent val="0"/>
          <c:showBubbleSize val="0"/>
        </c:dLbls>
        <c:gapWidth val="219"/>
        <c:overlap val="100"/>
        <c:axId val="700432144"/>
        <c:axId val="700429192"/>
      </c:barChart>
      <c:scatterChart>
        <c:scatterStyle val="lineMarker"/>
        <c:varyColors val="0"/>
        <c:ser>
          <c:idx val="0"/>
          <c:order val="0"/>
          <c:tx>
            <c:strRef>
              <c:f>Results!$A$13</c:f>
              <c:strCache>
                <c:ptCount val="1"/>
                <c:pt idx="0">
                  <c:v>Effective heat cost</c:v>
                </c:pt>
              </c:strCache>
            </c:strRef>
          </c:tx>
          <c:spPr>
            <a:ln w="15875" cap="rnd">
              <a:solidFill>
                <a:schemeClr val="tx1"/>
              </a:solidFill>
              <a:prstDash val="sysDot"/>
              <a:round/>
            </a:ln>
            <a:effectLst/>
          </c:spPr>
          <c:marker>
            <c:symbol val="diamond"/>
            <c:size val="10"/>
            <c:spPr>
              <a:solidFill>
                <a:schemeClr val="bg1"/>
              </a:solidFill>
              <a:ln w="9525">
                <a:solidFill>
                  <a:schemeClr val="tx1"/>
                </a:solidFill>
              </a:ln>
              <a:effectLst/>
            </c:spPr>
          </c:marker>
          <c:dLbls>
            <c:numFmt formatCode="#,##0.00" sourceLinked="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Results!$C$5:$N$5</c:f>
              <c:strCache>
                <c:ptCount val="12"/>
                <c:pt idx="0">
                  <c:v>Existing heating system</c:v>
                </c:pt>
                <c:pt idx="1">
                  <c:v>DH system</c:v>
                </c:pt>
                <c:pt idx="2">
                  <c:v>Natural gas boiler</c:v>
                </c:pt>
                <c:pt idx="3">
                  <c:v>Oil boiler</c:v>
                </c:pt>
                <c:pt idx="4">
                  <c:v>Coal boiler</c:v>
                </c:pt>
                <c:pt idx="5">
                  <c:v>Pellets boiler</c:v>
                </c:pt>
                <c:pt idx="6">
                  <c:v>Electric boiler</c:v>
                </c:pt>
                <c:pt idx="7">
                  <c:v>Electrical heaters</c:v>
                </c:pt>
                <c:pt idx="8">
                  <c:v>Log wood boiler</c:v>
                </c:pt>
                <c:pt idx="9">
                  <c:v>Wood chips boiler</c:v>
                </c:pt>
                <c:pt idx="10">
                  <c:v>Heat pump</c:v>
                </c:pt>
                <c:pt idx="11">
                  <c:v>Condensing boiler</c:v>
                </c:pt>
              </c:strCache>
            </c:strRef>
          </c:xVal>
          <c:yVal>
            <c:numRef>
              <c:f>Results!$C$13:$N$13</c:f>
              <c:numCache>
                <c:formatCode>0.000</c:formatCode>
                <c:ptCount val="12"/>
                <c:pt idx="0">
                  <c:v>0.15913674209346121</c:v>
                </c:pt>
                <c:pt idx="1">
                  <c:v>9.5679513184584175E-2</c:v>
                </c:pt>
                <c:pt idx="2">
                  <c:v>9.6838886896385395E-2</c:v>
                </c:pt>
                <c:pt idx="3">
                  <c:v>0.13596870801911251</c:v>
                </c:pt>
                <c:pt idx="4">
                  <c:v>0.15520474403314546</c:v>
                </c:pt>
                <c:pt idx="5">
                  <c:v>0.1255329821311354</c:v>
                </c:pt>
                <c:pt idx="6">
                  <c:v>0.19230950792927151</c:v>
                </c:pt>
                <c:pt idx="7">
                  <c:v>0.1686467997613276</c:v>
                </c:pt>
                <c:pt idx="8">
                  <c:v>9.7691945071456357E-2</c:v>
                </c:pt>
                <c:pt idx="9">
                  <c:v>0.13700708883726023</c:v>
                </c:pt>
                <c:pt idx="10">
                  <c:v>0.11111638410073379</c:v>
                </c:pt>
                <c:pt idx="11">
                  <c:v>9.4681008035087541E-2</c:v>
                </c:pt>
              </c:numCache>
            </c:numRef>
          </c:yVal>
          <c:smooth val="0"/>
          <c:extLst>
            <c:ext xmlns:c16="http://schemas.microsoft.com/office/drawing/2014/chart" uri="{C3380CC4-5D6E-409C-BE32-E72D297353CC}">
              <c16:uniqueId val="{00000002-A5F4-48A4-9BC6-30E2EFF7E18E}"/>
            </c:ext>
          </c:extLst>
        </c:ser>
        <c:dLbls>
          <c:showLegendKey val="0"/>
          <c:showVal val="0"/>
          <c:showCatName val="0"/>
          <c:showSerName val="0"/>
          <c:showPercent val="0"/>
          <c:showBubbleSize val="0"/>
        </c:dLbls>
        <c:axId val="614903928"/>
        <c:axId val="614905896"/>
      </c:scatterChart>
      <c:catAx>
        <c:axId val="700432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crossAx val="700429192"/>
        <c:crosses val="autoZero"/>
        <c:auto val="1"/>
        <c:lblAlgn val="ctr"/>
        <c:lblOffset val="100"/>
        <c:noMultiLvlLbl val="0"/>
      </c:catAx>
      <c:valAx>
        <c:axId val="700429192"/>
        <c:scaling>
          <c:orientation val="minMax"/>
        </c:scaling>
        <c:delete val="0"/>
        <c:axPos val="l"/>
        <c:majorGridlines>
          <c:spPr>
            <a:ln w="9525" cap="flat" cmpd="sng" algn="ctr">
              <a:solidFill>
                <a:schemeClr val="tx1">
                  <a:lumMod val="15000"/>
                  <a:lumOff val="85000"/>
                </a:schemeClr>
              </a:solidFill>
              <a:prstDash val="dash"/>
              <a:round/>
            </a:ln>
            <a:effectLst/>
          </c:spPr>
        </c:majorGridlines>
        <c:title>
          <c:tx>
            <c:strRef>
              <c:f>Results!$B$8</c:f>
              <c:strCache>
                <c:ptCount val="1"/>
                <c:pt idx="0">
                  <c:v>[EUR/a]</c:v>
                </c:pt>
              </c:strCache>
            </c:strRef>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crossAx val="700432144"/>
        <c:crosses val="autoZero"/>
        <c:crossBetween val="between"/>
      </c:valAx>
      <c:valAx>
        <c:axId val="614905896"/>
        <c:scaling>
          <c:orientation val="minMax"/>
        </c:scaling>
        <c:delete val="0"/>
        <c:axPos val="r"/>
        <c:title>
          <c:tx>
            <c:strRef>
              <c:f>Results!$B$13</c:f>
              <c:strCache>
                <c:ptCount val="1"/>
                <c:pt idx="0">
                  <c:v>[EUR/kWh]</c:v>
                </c:pt>
              </c:strCache>
            </c:strRef>
          </c:tx>
          <c:layout>
            <c:manualLayout>
              <c:xMode val="edge"/>
              <c:yMode val="edge"/>
              <c:x val="0.96876521334746768"/>
              <c:y val="0.33554311507202905"/>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title>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crossAx val="614903928"/>
        <c:crosses val="max"/>
        <c:crossBetween val="midCat"/>
      </c:valAx>
      <c:valAx>
        <c:axId val="614903928"/>
        <c:scaling>
          <c:orientation val="minMax"/>
        </c:scaling>
        <c:delete val="1"/>
        <c:axPos val="b"/>
        <c:numFmt formatCode="General" sourceLinked="1"/>
        <c:majorTickMark val="out"/>
        <c:minorTickMark val="none"/>
        <c:tickLblPos val="nextTo"/>
        <c:crossAx val="614905896"/>
        <c:crossesAt val="0"/>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50"/>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lumMod val="65000"/>
                    <a:lumOff val="35000"/>
                  </a:schemeClr>
                </a:solidFill>
                <a:latin typeface="+mn-lt"/>
                <a:ea typeface="+mn-ea"/>
                <a:cs typeface="+mn-cs"/>
              </a:defRPr>
            </a:pPr>
            <a:r>
              <a:rPr lang="de-DE" baseline="0"/>
              <a:t>Emissions of CO</a:t>
            </a:r>
            <a:r>
              <a:rPr lang="de-DE" baseline="0">
                <a:latin typeface="Calibri" panose="020F0502020204030204" pitchFamily="34" charset="0"/>
                <a:cs typeface="Calibri" panose="020F0502020204030204" pitchFamily="34" charset="0"/>
              </a:rPr>
              <a:t>₂</a:t>
            </a:r>
            <a:r>
              <a:rPr lang="de-DE" baseline="0"/>
              <a:t> equivalent and effective heat costs</a:t>
            </a:r>
            <a:endParaRPr lang="de-DE"/>
          </a:p>
        </c:rich>
      </c:tx>
      <c:overlay val="0"/>
      <c:spPr>
        <a:noFill/>
        <a:ln>
          <a:noFill/>
        </a:ln>
        <a:effectLst/>
      </c:spPr>
      <c:txPr>
        <a:bodyPr rot="0" spcFirstLastPara="1" vertOverflow="ellipsis" vert="horz" wrap="square" anchor="ctr" anchorCtr="1"/>
        <a:lstStyle/>
        <a:p>
          <a:pPr>
            <a:defRPr sz="126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3385520228795043E-2"/>
          <c:y val="0.12468724153964533"/>
          <c:w val="0.84247026583777784"/>
          <c:h val="0.65409360053876342"/>
        </c:manualLayout>
      </c:layout>
      <c:barChart>
        <c:barDir val="col"/>
        <c:grouping val="stacked"/>
        <c:varyColors val="0"/>
        <c:ser>
          <c:idx val="1"/>
          <c:order val="1"/>
          <c:tx>
            <c:strRef>
              <c:f>Results!$A$15</c:f>
              <c:strCache>
                <c:ptCount val="1"/>
                <c:pt idx="0">
                  <c:v>Emissions of CO₂ equivalent</c:v>
                </c:pt>
              </c:strCache>
            </c:strRef>
          </c:tx>
          <c:spPr>
            <a:solidFill>
              <a:schemeClr val="bg2"/>
            </a:solidFill>
            <a:ln>
              <a:solidFill>
                <a:schemeClr val="tx1"/>
              </a:solidFill>
            </a:ln>
            <a:effectLst/>
          </c:spPr>
          <c:invertIfNegative val="0"/>
          <c:dLbls>
            <c:spPr>
              <a:solidFill>
                <a:schemeClr val="bg1">
                  <a:alpha val="80000"/>
                </a:schemeClr>
              </a:solidFill>
              <a:ln>
                <a:solidFill>
                  <a:schemeClr val="tx1"/>
                </a:solid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Results!$C$5:$N$6</c:f>
              <c:strCache>
                <c:ptCount val="12"/>
                <c:pt idx="0">
                  <c:v>Existing heating system</c:v>
                </c:pt>
                <c:pt idx="1">
                  <c:v>DH system</c:v>
                </c:pt>
                <c:pt idx="2">
                  <c:v>Natural gas boiler</c:v>
                </c:pt>
                <c:pt idx="3">
                  <c:v>Oil boiler</c:v>
                </c:pt>
                <c:pt idx="4">
                  <c:v>Coal boiler</c:v>
                </c:pt>
                <c:pt idx="5">
                  <c:v>Pellets boiler</c:v>
                </c:pt>
                <c:pt idx="6">
                  <c:v>Electric boiler</c:v>
                </c:pt>
                <c:pt idx="7">
                  <c:v>Electrical heaters</c:v>
                </c:pt>
                <c:pt idx="8">
                  <c:v>Log wood boiler</c:v>
                </c:pt>
                <c:pt idx="9">
                  <c:v>Wood chips boiler</c:v>
                </c:pt>
                <c:pt idx="10">
                  <c:v>Heat pump</c:v>
                </c:pt>
                <c:pt idx="11">
                  <c:v>Condensing boiler</c:v>
                </c:pt>
              </c:strCache>
            </c:strRef>
          </c:cat>
          <c:val>
            <c:numRef>
              <c:f>Results!$C$15:$N$15</c:f>
              <c:numCache>
                <c:formatCode>#,##0.00</c:formatCode>
                <c:ptCount val="12"/>
                <c:pt idx="0">
                  <c:v>8.9899999999999984</c:v>
                </c:pt>
                <c:pt idx="1">
                  <c:v>1.4878260869565216</c:v>
                </c:pt>
                <c:pt idx="2">
                  <c:v>6.0885500000000006</c:v>
                </c:pt>
                <c:pt idx="3">
                  <c:v>7.6414999999999997</c:v>
                </c:pt>
                <c:pt idx="4">
                  <c:v>11.376923076923077</c:v>
                </c:pt>
                <c:pt idx="5">
                  <c:v>0.98599999999999999</c:v>
                </c:pt>
                <c:pt idx="6">
                  <c:v>4.9738222222222221</c:v>
                </c:pt>
                <c:pt idx="7">
                  <c:v>4.7120421052631585</c:v>
                </c:pt>
                <c:pt idx="8">
                  <c:v>0.2465</c:v>
                </c:pt>
                <c:pt idx="9">
                  <c:v>0.2465</c:v>
                </c:pt>
                <c:pt idx="10">
                  <c:v>1.3988875000000001</c:v>
                </c:pt>
                <c:pt idx="11">
                  <c:v>5.4120444444444438</c:v>
                </c:pt>
              </c:numCache>
            </c:numRef>
          </c:val>
          <c:extLst>
            <c:ext xmlns:c16="http://schemas.microsoft.com/office/drawing/2014/chart" uri="{C3380CC4-5D6E-409C-BE32-E72D297353CC}">
              <c16:uniqueId val="{0000000C-0521-432E-B268-71BD4CCC0F7B}"/>
            </c:ext>
          </c:extLst>
        </c:ser>
        <c:dLbls>
          <c:showLegendKey val="0"/>
          <c:showVal val="0"/>
          <c:showCatName val="0"/>
          <c:showSerName val="0"/>
          <c:showPercent val="0"/>
          <c:showBubbleSize val="0"/>
        </c:dLbls>
        <c:gapWidth val="219"/>
        <c:overlap val="100"/>
        <c:axId val="700432144"/>
        <c:axId val="700429192"/>
      </c:barChart>
      <c:scatterChart>
        <c:scatterStyle val="lineMarker"/>
        <c:varyColors val="0"/>
        <c:ser>
          <c:idx val="0"/>
          <c:order val="0"/>
          <c:tx>
            <c:strRef>
              <c:f>Results!$A$13</c:f>
              <c:strCache>
                <c:ptCount val="1"/>
                <c:pt idx="0">
                  <c:v>Effective heat cost</c:v>
                </c:pt>
              </c:strCache>
            </c:strRef>
          </c:tx>
          <c:spPr>
            <a:ln w="15875" cap="rnd">
              <a:solidFill>
                <a:schemeClr val="tx1"/>
              </a:solidFill>
              <a:prstDash val="sysDot"/>
              <a:round/>
            </a:ln>
            <a:effectLst/>
          </c:spPr>
          <c:marker>
            <c:symbol val="diamond"/>
            <c:size val="10"/>
            <c:spPr>
              <a:solidFill>
                <a:schemeClr val="bg1"/>
              </a:solidFill>
              <a:ln w="9525">
                <a:solidFill>
                  <a:schemeClr val="tx1"/>
                </a:solidFill>
              </a:ln>
              <a:effectLst/>
            </c:spPr>
          </c:marker>
          <c:dLbls>
            <c:numFmt formatCode="#,##0.00" sourceLinked="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Results!$C$5:$N$5</c:f>
              <c:strCache>
                <c:ptCount val="12"/>
                <c:pt idx="0">
                  <c:v>Existing heating system</c:v>
                </c:pt>
                <c:pt idx="1">
                  <c:v>DH system</c:v>
                </c:pt>
                <c:pt idx="2">
                  <c:v>Natural gas boiler</c:v>
                </c:pt>
                <c:pt idx="3">
                  <c:v>Oil boiler</c:v>
                </c:pt>
                <c:pt idx="4">
                  <c:v>Coal boiler</c:v>
                </c:pt>
                <c:pt idx="5">
                  <c:v>Pellets boiler</c:v>
                </c:pt>
                <c:pt idx="6">
                  <c:v>Electric boiler</c:v>
                </c:pt>
                <c:pt idx="7">
                  <c:v>Electrical heaters</c:v>
                </c:pt>
                <c:pt idx="8">
                  <c:v>Log wood boiler</c:v>
                </c:pt>
                <c:pt idx="9">
                  <c:v>Wood chips boiler</c:v>
                </c:pt>
                <c:pt idx="10">
                  <c:v>Heat pump</c:v>
                </c:pt>
                <c:pt idx="11">
                  <c:v>Condensing boiler</c:v>
                </c:pt>
              </c:strCache>
            </c:strRef>
          </c:xVal>
          <c:yVal>
            <c:numRef>
              <c:f>Results!$C$13:$N$13</c:f>
              <c:numCache>
                <c:formatCode>0.000</c:formatCode>
                <c:ptCount val="12"/>
                <c:pt idx="0">
                  <c:v>0.15913674209346121</c:v>
                </c:pt>
                <c:pt idx="1">
                  <c:v>9.5679513184584175E-2</c:v>
                </c:pt>
                <c:pt idx="2">
                  <c:v>9.6838886896385395E-2</c:v>
                </c:pt>
                <c:pt idx="3">
                  <c:v>0.13596870801911251</c:v>
                </c:pt>
                <c:pt idx="4">
                  <c:v>0.15520474403314546</c:v>
                </c:pt>
                <c:pt idx="5">
                  <c:v>0.1255329821311354</c:v>
                </c:pt>
                <c:pt idx="6">
                  <c:v>0.19230950792927151</c:v>
                </c:pt>
                <c:pt idx="7">
                  <c:v>0.1686467997613276</c:v>
                </c:pt>
                <c:pt idx="8">
                  <c:v>9.7691945071456357E-2</c:v>
                </c:pt>
                <c:pt idx="9">
                  <c:v>0.13700708883726023</c:v>
                </c:pt>
                <c:pt idx="10">
                  <c:v>0.11111638410073379</c:v>
                </c:pt>
                <c:pt idx="11">
                  <c:v>9.4681008035087541E-2</c:v>
                </c:pt>
              </c:numCache>
            </c:numRef>
          </c:yVal>
          <c:smooth val="0"/>
          <c:extLst>
            <c:ext xmlns:c16="http://schemas.microsoft.com/office/drawing/2014/chart" uri="{C3380CC4-5D6E-409C-BE32-E72D297353CC}">
              <c16:uniqueId val="{0000001A-0521-432E-B268-71BD4CCC0F7B}"/>
            </c:ext>
          </c:extLst>
        </c:ser>
        <c:dLbls>
          <c:showLegendKey val="0"/>
          <c:showVal val="0"/>
          <c:showCatName val="0"/>
          <c:showSerName val="0"/>
          <c:showPercent val="0"/>
          <c:showBubbleSize val="0"/>
        </c:dLbls>
        <c:axId val="614903928"/>
        <c:axId val="614905896"/>
      </c:scatterChart>
      <c:catAx>
        <c:axId val="700432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crossAx val="700429192"/>
        <c:crosses val="autoZero"/>
        <c:auto val="1"/>
        <c:lblAlgn val="ctr"/>
        <c:lblOffset val="100"/>
        <c:noMultiLvlLbl val="0"/>
      </c:catAx>
      <c:valAx>
        <c:axId val="700429192"/>
        <c:scaling>
          <c:orientation val="minMax"/>
        </c:scaling>
        <c:delete val="0"/>
        <c:axPos val="l"/>
        <c:majorGridlines>
          <c:spPr>
            <a:ln w="9525" cap="flat" cmpd="sng" algn="ctr">
              <a:solidFill>
                <a:schemeClr val="tx1">
                  <a:lumMod val="15000"/>
                  <a:lumOff val="85000"/>
                </a:schemeClr>
              </a:solidFill>
              <a:prstDash val="dash"/>
              <a:round/>
            </a:ln>
            <a:effectLst/>
          </c:spPr>
        </c:majorGridlines>
        <c:title>
          <c:tx>
            <c:strRef>
              <c:f>Results!$B$15</c:f>
              <c:strCache>
                <c:ptCount val="1"/>
                <c:pt idx="0">
                  <c:v>[t/a]</c:v>
                </c:pt>
              </c:strCache>
            </c:strRef>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crossAx val="700432144"/>
        <c:crosses val="autoZero"/>
        <c:crossBetween val="between"/>
      </c:valAx>
      <c:valAx>
        <c:axId val="614905896"/>
        <c:scaling>
          <c:orientation val="minMax"/>
        </c:scaling>
        <c:delete val="0"/>
        <c:axPos val="r"/>
        <c:title>
          <c:tx>
            <c:strRef>
              <c:f>Results!$B$13</c:f>
              <c:strCache>
                <c:ptCount val="1"/>
                <c:pt idx="0">
                  <c:v>[EUR/kWh]</c:v>
                </c:pt>
              </c:strCache>
            </c:strRef>
          </c:tx>
          <c:layout>
            <c:manualLayout>
              <c:xMode val="edge"/>
              <c:yMode val="edge"/>
              <c:x val="0.97046917145743083"/>
              <c:y val="0.35348952218247087"/>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title>
        <c:numFmt formatCode="0.00" sourceLinked="0"/>
        <c:majorTickMark val="out"/>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crossAx val="614903928"/>
        <c:crosses val="max"/>
        <c:crossBetween val="midCat"/>
      </c:valAx>
      <c:valAx>
        <c:axId val="614903928"/>
        <c:scaling>
          <c:orientation val="minMax"/>
        </c:scaling>
        <c:delete val="1"/>
        <c:axPos val="b"/>
        <c:numFmt formatCode="General" sourceLinked="1"/>
        <c:majorTickMark val="out"/>
        <c:minorTickMark val="none"/>
        <c:tickLblPos val="nextTo"/>
        <c:crossAx val="614905896"/>
        <c:crossesAt val="0"/>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50"/>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4</xdr:row>
      <xdr:rowOff>28575</xdr:rowOff>
    </xdr:from>
    <xdr:to>
      <xdr:col>6</xdr:col>
      <xdr:colOff>222528</xdr:colOff>
      <xdr:row>9</xdr:row>
      <xdr:rowOff>95025</xdr:rowOff>
    </xdr:to>
    <xdr:pic>
      <xdr:nvPicPr>
        <xdr:cNvPr id="2" name="Grafik 1">
          <a:extLst>
            <a:ext uri="{FF2B5EF4-FFF2-40B4-BE49-F238E27FC236}">
              <a16:creationId xmlns:a16="http://schemas.microsoft.com/office/drawing/2014/main" id="{ED3ED7C0-684A-4007-82D3-88EB3CD17CF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53000" y="790575"/>
          <a:ext cx="4013478" cy="1638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157163</xdr:colOff>
      <xdr:row>27</xdr:row>
      <xdr:rowOff>157162</xdr:rowOff>
    </xdr:from>
    <xdr:to>
      <xdr:col>5</xdr:col>
      <xdr:colOff>19050</xdr:colOff>
      <xdr:row>41</xdr:row>
      <xdr:rowOff>138953</xdr:rowOff>
    </xdr:to>
    <xdr:graphicFrame macro="">
      <xdr:nvGraphicFramePr>
        <xdr:cNvPr id="2" name="Diagramm 1">
          <a:extLst>
            <a:ext uri="{FF2B5EF4-FFF2-40B4-BE49-F238E27FC236}">
              <a16:creationId xmlns:a16="http://schemas.microsoft.com/office/drawing/2014/main" id="{1D76D1EB-F93C-42A0-B2C0-A6A7B3CBCF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205037</xdr:colOff>
      <xdr:row>16</xdr:row>
      <xdr:rowOff>73175</xdr:rowOff>
    </xdr:from>
    <xdr:to>
      <xdr:col>13</xdr:col>
      <xdr:colOff>752476</xdr:colOff>
      <xdr:row>35</xdr:row>
      <xdr:rowOff>91440</xdr:rowOff>
    </xdr:to>
    <xdr:graphicFrame macro="">
      <xdr:nvGraphicFramePr>
        <xdr:cNvPr id="2" name="Diagramm 1">
          <a:extLst>
            <a:ext uri="{FF2B5EF4-FFF2-40B4-BE49-F238E27FC236}">
              <a16:creationId xmlns:a16="http://schemas.microsoft.com/office/drawing/2014/main" id="{01BBD748-56E6-44C4-943B-413955A2E1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211905</xdr:colOff>
      <xdr:row>35</xdr:row>
      <xdr:rowOff>180079</xdr:rowOff>
    </xdr:from>
    <xdr:to>
      <xdr:col>13</xdr:col>
      <xdr:colOff>752476</xdr:colOff>
      <xdr:row>54</xdr:row>
      <xdr:rowOff>0</xdr:rowOff>
    </xdr:to>
    <xdr:graphicFrame macro="">
      <xdr:nvGraphicFramePr>
        <xdr:cNvPr id="3" name="Diagramm 2">
          <a:extLst>
            <a:ext uri="{FF2B5EF4-FFF2-40B4-BE49-F238E27FC236}">
              <a16:creationId xmlns:a16="http://schemas.microsoft.com/office/drawing/2014/main" id="{D9ABF02C-D1FC-4CAF-98CB-4666C84652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219075</xdr:colOff>
      <xdr:row>0</xdr:row>
      <xdr:rowOff>57151</xdr:rowOff>
    </xdr:from>
    <xdr:to>
      <xdr:col>0</xdr:col>
      <xdr:colOff>1762125</xdr:colOff>
      <xdr:row>3</xdr:row>
      <xdr:rowOff>115437</xdr:rowOff>
    </xdr:to>
    <xdr:pic>
      <xdr:nvPicPr>
        <xdr:cNvPr id="4" name="Grafik 3">
          <a:extLst>
            <a:ext uri="{FF2B5EF4-FFF2-40B4-BE49-F238E27FC236}">
              <a16:creationId xmlns:a16="http://schemas.microsoft.com/office/drawing/2014/main" id="{CB0BACCC-DA64-4E9B-8586-1D35E9A3B41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19075" y="57151"/>
          <a:ext cx="1543050" cy="629786"/>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ris.bka.gv.at/GeltendeFassung.wxe?Abfrage=Bundesnormen&amp;Gesetzesnummer=20007992" TargetMode="External"/><Relationship Id="rId13" Type="http://schemas.openxmlformats.org/officeDocument/2006/relationships/hyperlink" Target="https://www.oib.or.at/sites/default/files/richtlinie_6_12.04.19_1.pdf" TargetMode="External"/><Relationship Id="rId3" Type="http://schemas.openxmlformats.org/officeDocument/2006/relationships/hyperlink" Target="https://www.statistik.at/web_de/statistiken/wirtschaft/land_und_forstwirtschaft/preise_bilanzen/preise/index.html" TargetMode="External"/><Relationship Id="rId7" Type="http://schemas.openxmlformats.org/officeDocument/2006/relationships/hyperlink" Target="https://www.brennstoffe.kaufen/" TargetMode="External"/><Relationship Id="rId12" Type="http://schemas.openxmlformats.org/officeDocument/2006/relationships/hyperlink" Target="https://www.oib.or.at/sites/default/files/erlaeuternde_bemerkungen_richtlinie_6_12.04.19_0.pdf" TargetMode="External"/><Relationship Id="rId2" Type="http://schemas.openxmlformats.org/officeDocument/2006/relationships/hyperlink" Target="https://www.klimaaktiv.at/dam/jcr:a76a0aa5-5d1c-4132-a276-490007ca2c60/Wood_Fuel_Parameter_Calculator_v1.8.xlsm" TargetMode="External"/><Relationship Id="rId1" Type="http://schemas.openxmlformats.org/officeDocument/2006/relationships/hyperlink" Target="https://www.propellets.at/aktuelle-pelletpreise" TargetMode="External"/><Relationship Id="rId6" Type="http://schemas.openxmlformats.org/officeDocument/2006/relationships/hyperlink" Target="https://www.energieinstitut.at/buerger/haustechnik-energieversorgung/energiepreise-im-vergleich/" TargetMode="External"/><Relationship Id="rId11" Type="http://schemas.openxmlformats.org/officeDocument/2006/relationships/hyperlink" Target="https://www.heizoel24.at/charts/heizoel" TargetMode="External"/><Relationship Id="rId5" Type="http://schemas.openxmlformats.org/officeDocument/2006/relationships/hyperlink" Target="https://www.engineeringtoolbox.com/fuels-higher-calorific-values-d_169.html" TargetMode="External"/><Relationship Id="rId10" Type="http://schemas.openxmlformats.org/officeDocument/2006/relationships/hyperlink" Target="https://www.e-steiermark.com/fileadmin/user_upload/downloads/Kundeninformation_und_Preisblatt_Privatkunden_Strom.pdf" TargetMode="External"/><Relationship Id="rId4" Type="http://schemas.openxmlformats.org/officeDocument/2006/relationships/hyperlink" Target="https://noe.lko.at/aktueller-energieholzindex+2500+1297728" TargetMode="External"/><Relationship Id="rId9" Type="http://schemas.openxmlformats.org/officeDocument/2006/relationships/hyperlink" Target="https://www.e-steiermark.com/fileadmin/privatkunden/gas/Gas_Privatkunden.pdf" TargetMode="External"/><Relationship Id="rId1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A14"/>
  <sheetViews>
    <sheetView showGridLines="0" workbookViewId="0">
      <selection activeCell="A14" sqref="A14"/>
    </sheetView>
  </sheetViews>
  <sheetFormatPr baseColWidth="10" defaultRowHeight="15" x14ac:dyDescent="0.25"/>
  <cols>
    <col min="1" max="1" width="74" customWidth="1"/>
  </cols>
  <sheetData>
    <row r="5" spans="1:1" ht="56.25" x14ac:dyDescent="0.25">
      <c r="A5" s="16" t="s">
        <v>298</v>
      </c>
    </row>
    <row r="6" spans="1:1" ht="18.75" x14ac:dyDescent="0.25">
      <c r="A6" s="17"/>
    </row>
    <row r="7" spans="1:1" ht="18.75" x14ac:dyDescent="0.25">
      <c r="A7" s="17"/>
    </row>
    <row r="13" spans="1:1" ht="15.75" x14ac:dyDescent="0.25">
      <c r="A13" s="215" t="s">
        <v>309</v>
      </c>
    </row>
    <row r="14" spans="1:1" ht="15.75" x14ac:dyDescent="0.25">
      <c r="A14" s="216" t="s">
        <v>308</v>
      </c>
    </row>
  </sheetData>
  <sheetProtection sheet="1" objects="1" scenarios="1"/>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35"/>
  <sheetViews>
    <sheetView showGridLines="0" tabSelected="1" workbookViewId="0">
      <selection activeCell="B3" sqref="B3"/>
    </sheetView>
  </sheetViews>
  <sheetFormatPr baseColWidth="10" defaultRowHeight="15" x14ac:dyDescent="0.25"/>
  <cols>
    <col min="1" max="1" width="5.42578125" customWidth="1"/>
    <col min="2" max="2" width="125.7109375" style="118" customWidth="1"/>
  </cols>
  <sheetData>
    <row r="1" spans="1:2" x14ac:dyDescent="0.25">
      <c r="A1" s="12"/>
    </row>
    <row r="2" spans="1:2" x14ac:dyDescent="0.25">
      <c r="B2" s="119" t="s">
        <v>208</v>
      </c>
    </row>
    <row r="3" spans="1:2" ht="129" customHeight="1" x14ac:dyDescent="0.25">
      <c r="B3" s="120" t="s">
        <v>285</v>
      </c>
    </row>
    <row r="5" spans="1:2" x14ac:dyDescent="0.25">
      <c r="B5" s="119" t="s">
        <v>207</v>
      </c>
    </row>
    <row r="6" spans="1:2" ht="30" x14ac:dyDescent="0.25">
      <c r="B6" s="121" t="s">
        <v>284</v>
      </c>
    </row>
    <row r="7" spans="1:2" ht="24.95" customHeight="1" x14ac:dyDescent="0.25">
      <c r="B7" s="122" t="s">
        <v>198</v>
      </c>
    </row>
    <row r="8" spans="1:2" ht="45" x14ac:dyDescent="0.25">
      <c r="B8" s="123" t="s">
        <v>310</v>
      </c>
    </row>
    <row r="9" spans="1:2" s="15" customFormat="1" ht="185.25" customHeight="1" x14ac:dyDescent="0.25">
      <c r="B9" s="131" t="s">
        <v>311</v>
      </c>
    </row>
    <row r="10" spans="1:2" s="15" customFormat="1" ht="53.25" customHeight="1" x14ac:dyDescent="0.25">
      <c r="B10" s="123" t="s">
        <v>269</v>
      </c>
    </row>
    <row r="11" spans="1:2" s="15" customFormat="1" ht="53.25" customHeight="1" x14ac:dyDescent="0.25">
      <c r="B11" s="123" t="s">
        <v>286</v>
      </c>
    </row>
    <row r="12" spans="1:2" ht="24.95" customHeight="1" x14ac:dyDescent="0.25">
      <c r="B12" s="124" t="s">
        <v>187</v>
      </c>
    </row>
    <row r="13" spans="1:2" ht="231.75" customHeight="1" x14ac:dyDescent="0.25">
      <c r="B13" s="123" t="s">
        <v>312</v>
      </c>
    </row>
    <row r="14" spans="1:2" s="15" customFormat="1" x14ac:dyDescent="0.25">
      <c r="B14" s="123" t="s">
        <v>271</v>
      </c>
    </row>
    <row r="15" spans="1:2" s="15" customFormat="1" ht="187.5" customHeight="1" x14ac:dyDescent="0.25">
      <c r="B15" s="131" t="s">
        <v>287</v>
      </c>
    </row>
    <row r="16" spans="1:2" ht="24.95" customHeight="1" x14ac:dyDescent="0.25">
      <c r="B16" s="122" t="s">
        <v>199</v>
      </c>
    </row>
    <row r="17" spans="2:4" ht="140.25" customHeight="1" x14ac:dyDescent="0.25">
      <c r="B17" s="123" t="s">
        <v>270</v>
      </c>
    </row>
    <row r="18" spans="2:4" ht="24.95" customHeight="1" x14ac:dyDescent="0.25">
      <c r="B18" s="122" t="s">
        <v>200</v>
      </c>
    </row>
    <row r="19" spans="2:4" s="15" customFormat="1" ht="61.5" customHeight="1" x14ac:dyDescent="0.25">
      <c r="B19" s="123" t="s">
        <v>272</v>
      </c>
    </row>
    <row r="20" spans="2:4" ht="80.45" customHeight="1" x14ac:dyDescent="0.25">
      <c r="B20" s="131" t="s">
        <v>288</v>
      </c>
    </row>
    <row r="21" spans="2:4" ht="24.95" customHeight="1" x14ac:dyDescent="0.25">
      <c r="B21" s="122" t="s">
        <v>202</v>
      </c>
    </row>
    <row r="22" spans="2:4" ht="170.45" customHeight="1" x14ac:dyDescent="0.25">
      <c r="B22" s="125" t="s">
        <v>291</v>
      </c>
    </row>
    <row r="23" spans="2:4" x14ac:dyDescent="0.25">
      <c r="B23" s="126"/>
    </row>
    <row r="24" spans="2:4" x14ac:dyDescent="0.25">
      <c r="B24" s="126" t="s">
        <v>268</v>
      </c>
    </row>
    <row r="25" spans="2:4" ht="24.95" customHeight="1" x14ac:dyDescent="0.25">
      <c r="B25" s="127" t="s">
        <v>206</v>
      </c>
    </row>
    <row r="26" spans="2:4" s="15" customFormat="1" ht="30" x14ac:dyDescent="0.25">
      <c r="B26" s="125" t="s">
        <v>273</v>
      </c>
    </row>
    <row r="27" spans="2:4" ht="105" x14ac:dyDescent="0.25">
      <c r="B27" s="132" t="s">
        <v>289</v>
      </c>
      <c r="D27" s="15"/>
    </row>
    <row r="28" spans="2:4" x14ac:dyDescent="0.25">
      <c r="D28" s="15"/>
    </row>
    <row r="29" spans="2:4" x14ac:dyDescent="0.25">
      <c r="B29" s="128"/>
    </row>
    <row r="30" spans="2:4" x14ac:dyDescent="0.25">
      <c r="B30" s="129"/>
    </row>
    <row r="33" spans="2:2" x14ac:dyDescent="0.25">
      <c r="B33" s="130"/>
    </row>
    <row r="34" spans="2:2" x14ac:dyDescent="0.25">
      <c r="B34" s="130"/>
    </row>
    <row r="35" spans="2:2" x14ac:dyDescent="0.25">
      <c r="B35" s="130"/>
    </row>
  </sheetData>
  <sheetProtection sheet="1" objects="1" scenarios="1"/>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A7D89-3FA3-4F67-9A49-8C23234132F2}">
  <dimension ref="A1:N108"/>
  <sheetViews>
    <sheetView showGridLines="0" workbookViewId="0">
      <selection activeCell="D6" sqref="D6"/>
    </sheetView>
  </sheetViews>
  <sheetFormatPr baseColWidth="10" defaultColWidth="11" defaultRowHeight="15" x14ac:dyDescent="0.25"/>
  <cols>
    <col min="1" max="1" width="12.140625" bestFit="1" customWidth="1"/>
    <col min="2" max="2" width="21.85546875" customWidth="1"/>
    <col min="3" max="3" width="29.140625" bestFit="1" customWidth="1"/>
    <col min="4" max="4" width="7.5703125" bestFit="1" customWidth="1"/>
    <col min="5" max="5" width="16.85546875" bestFit="1" customWidth="1"/>
    <col min="6" max="6" width="11" style="1"/>
    <col min="7" max="8" width="10" style="1" customWidth="1"/>
    <col min="9" max="9" width="8.85546875" style="1" customWidth="1"/>
    <col min="10" max="10" width="29" style="1" bestFit="1" customWidth="1"/>
    <col min="11" max="11" width="6.140625" style="1" bestFit="1" customWidth="1"/>
    <col min="12" max="12" width="5.85546875" style="1" bestFit="1" customWidth="1"/>
    <col min="13" max="13" width="14.85546875" style="1" customWidth="1"/>
    <col min="14" max="14" width="39.85546875" style="1" customWidth="1"/>
    <col min="15" max="16384" width="11" style="1"/>
  </cols>
  <sheetData>
    <row r="1" spans="2:14" customFormat="1" ht="15.75" thickBot="1" x14ac:dyDescent="0.3">
      <c r="C1" s="12" t="s">
        <v>239</v>
      </c>
      <c r="D1" s="2"/>
    </row>
    <row r="2" spans="2:14" customFormat="1" ht="15.75" thickBot="1" x14ac:dyDescent="0.3">
      <c r="B2" s="21"/>
      <c r="C2" s="213" t="s">
        <v>132</v>
      </c>
      <c r="D2" s="23"/>
      <c r="E2" s="21"/>
      <c r="G2" s="134" t="s">
        <v>274</v>
      </c>
      <c r="H2" s="173" t="s">
        <v>38</v>
      </c>
      <c r="J2" s="61" t="s">
        <v>130</v>
      </c>
      <c r="K2" s="59" t="s">
        <v>107</v>
      </c>
      <c r="L2" s="60" t="s">
        <v>54</v>
      </c>
    </row>
    <row r="3" spans="2:14" customFormat="1" ht="15.75" thickBot="1" x14ac:dyDescent="0.3">
      <c r="B3" s="213"/>
      <c r="C3" s="214"/>
      <c r="D3" s="213"/>
      <c r="E3" s="214"/>
      <c r="F3" s="15"/>
      <c r="G3" s="15"/>
      <c r="J3" s="24" t="s">
        <v>129</v>
      </c>
      <c r="K3" s="162">
        <v>4000</v>
      </c>
      <c r="L3" s="52" t="str">
        <f ca="1">INDIRECT(ADDRESS(HelpSheet!B15,HelpSheet!F26,1,1,"HelpSheet"))</f>
        <v>[EUR]</v>
      </c>
    </row>
    <row r="4" spans="2:14" customFormat="1" ht="15.75" thickBot="1" x14ac:dyDescent="0.3">
      <c r="B4" s="184" t="s">
        <v>22</v>
      </c>
      <c r="C4" s="185"/>
      <c r="D4" s="185"/>
      <c r="E4" s="186"/>
      <c r="F4" s="15"/>
      <c r="J4" s="25" t="s">
        <v>128</v>
      </c>
      <c r="K4" s="172">
        <v>0.02</v>
      </c>
      <c r="L4" s="53" t="s">
        <v>66</v>
      </c>
    </row>
    <row r="5" spans="2:14" customFormat="1" x14ac:dyDescent="0.25">
      <c r="B5" s="98" t="s">
        <v>21</v>
      </c>
      <c r="C5" s="93" t="s">
        <v>4</v>
      </c>
      <c r="D5" s="93" t="s">
        <v>107</v>
      </c>
      <c r="E5" s="48" t="s">
        <v>54</v>
      </c>
      <c r="F5" s="219" t="s">
        <v>211</v>
      </c>
      <c r="G5" s="220"/>
      <c r="H5" s="220"/>
      <c r="I5" s="220"/>
      <c r="J5" s="220"/>
      <c r="K5" s="220"/>
      <c r="L5" s="220"/>
      <c r="M5" s="220"/>
      <c r="N5" s="220"/>
    </row>
    <row r="6" spans="2:14" ht="15" customHeight="1" x14ac:dyDescent="0.25">
      <c r="B6" s="183" t="s">
        <v>18</v>
      </c>
      <c r="C6" s="47" t="s">
        <v>55</v>
      </c>
      <c r="D6" s="174">
        <v>4.8</v>
      </c>
      <c r="E6" s="49" t="s">
        <v>56</v>
      </c>
      <c r="F6" s="217" t="s">
        <v>299</v>
      </c>
      <c r="G6" s="218"/>
      <c r="H6" s="218"/>
      <c r="I6" s="218"/>
      <c r="J6" s="218"/>
      <c r="K6" s="218"/>
      <c r="L6" s="218"/>
      <c r="M6" s="218"/>
      <c r="N6" s="218"/>
    </row>
    <row r="7" spans="2:14" x14ac:dyDescent="0.25">
      <c r="B7" s="99" t="s">
        <v>297</v>
      </c>
      <c r="C7" s="47" t="s">
        <v>121</v>
      </c>
      <c r="D7" s="175">
        <v>0.23</v>
      </c>
      <c r="E7" s="49" t="str">
        <f ca="1">INDIRECT(ADDRESS(HelpSheet!B8,HelpSheet!F26,1,1,"HelpSheet"))</f>
        <v>[EUR/kg]</v>
      </c>
      <c r="F7" s="217"/>
      <c r="G7" s="218"/>
      <c r="H7" s="218"/>
      <c r="I7" s="218"/>
      <c r="J7" s="218"/>
      <c r="K7" s="218"/>
      <c r="L7" s="218"/>
      <c r="M7" s="218"/>
      <c r="N7" s="218"/>
    </row>
    <row r="8" spans="2:14" x14ac:dyDescent="0.25">
      <c r="B8" s="99"/>
      <c r="C8" s="47" t="s">
        <v>57</v>
      </c>
      <c r="D8" s="176">
        <v>0.01</v>
      </c>
      <c r="E8" s="49" t="s">
        <v>58</v>
      </c>
      <c r="F8" s="217"/>
      <c r="G8" s="218"/>
      <c r="H8" s="218"/>
      <c r="I8" s="218"/>
      <c r="J8" s="218"/>
      <c r="K8" s="218"/>
      <c r="L8" s="218"/>
      <c r="M8" s="218"/>
      <c r="N8" s="218"/>
    </row>
    <row r="9" spans="2:14" x14ac:dyDescent="0.25">
      <c r="B9" s="100"/>
      <c r="C9" s="47" t="s">
        <v>120</v>
      </c>
      <c r="D9" s="95">
        <f>D7/D6</f>
        <v>4.791666666666667E-2</v>
      </c>
      <c r="E9" s="49" t="str">
        <f ca="1">INDIRECT(ADDRESS(HelpSheet!B13,HelpSheet!F26,1,1,"HelpSheet"))</f>
        <v>[EUR/kWh]</v>
      </c>
      <c r="F9" s="217"/>
      <c r="G9" s="218"/>
      <c r="H9" s="218"/>
      <c r="I9" s="218"/>
      <c r="J9" s="218"/>
      <c r="K9" s="218"/>
      <c r="L9" s="218"/>
      <c r="M9" s="218"/>
      <c r="N9" s="218"/>
    </row>
    <row r="10" spans="2:14" x14ac:dyDescent="0.25">
      <c r="B10" s="100"/>
      <c r="C10" s="96" t="s">
        <v>131</v>
      </c>
      <c r="D10" s="106">
        <f>HelpSheet!Y40</f>
        <v>5.2753863737533713E-2</v>
      </c>
      <c r="E10" s="49" t="str">
        <f ca="1">INDIRECT(ADDRESS(HelpSheet!B13,HelpSheet!F26,1,1,"HelpSheet"))</f>
        <v>[EUR/kWh]</v>
      </c>
      <c r="F10" s="217"/>
      <c r="G10" s="218"/>
      <c r="H10" s="218"/>
      <c r="I10" s="218"/>
      <c r="J10" s="218"/>
      <c r="K10" s="218"/>
      <c r="L10" s="218"/>
      <c r="M10" s="218"/>
      <c r="N10" s="218"/>
    </row>
    <row r="11" spans="2:14" ht="31.5" customHeight="1" x14ac:dyDescent="0.25">
      <c r="B11" s="101"/>
      <c r="C11" s="136" t="s">
        <v>244</v>
      </c>
      <c r="D11" s="177">
        <v>0.04</v>
      </c>
      <c r="E11" s="137" t="s">
        <v>265</v>
      </c>
      <c r="F11" s="217"/>
      <c r="G11" s="218"/>
      <c r="H11" s="218"/>
      <c r="I11" s="218"/>
      <c r="J11" s="218"/>
      <c r="K11" s="218"/>
      <c r="L11" s="218"/>
      <c r="M11" s="218"/>
      <c r="N11" s="218"/>
    </row>
    <row r="12" spans="2:14" x14ac:dyDescent="0.25">
      <c r="B12" s="133" t="s">
        <v>296</v>
      </c>
      <c r="C12" s="47" t="s">
        <v>61</v>
      </c>
      <c r="D12" s="162">
        <v>1116</v>
      </c>
      <c r="E12" s="49" t="s">
        <v>219</v>
      </c>
      <c r="F12" s="217" t="s">
        <v>300</v>
      </c>
      <c r="G12" s="218"/>
      <c r="H12" s="218"/>
      <c r="I12" s="218"/>
      <c r="J12" s="218"/>
      <c r="K12" s="218"/>
      <c r="L12" s="218"/>
      <c r="M12" s="218"/>
      <c r="N12" s="218"/>
    </row>
    <row r="13" spans="2:14" ht="15" customHeight="1" x14ac:dyDescent="0.25">
      <c r="B13" s="99"/>
      <c r="C13" s="47" t="s">
        <v>121</v>
      </c>
      <c r="D13" s="175">
        <v>43</v>
      </c>
      <c r="E13" s="49" t="str">
        <f ca="1">INDIRECT(ADDRESS(HelpSheet!B12,HelpSheet!F26,1,1,"HelpSheet"))</f>
        <v>[EUR/m³ (loose)]</v>
      </c>
      <c r="F13" s="217"/>
      <c r="G13" s="218"/>
      <c r="H13" s="218"/>
      <c r="I13" s="218"/>
      <c r="J13" s="218"/>
      <c r="K13" s="218"/>
      <c r="L13" s="218"/>
      <c r="M13" s="218"/>
      <c r="N13" s="218"/>
    </row>
    <row r="14" spans="2:14" x14ac:dyDescent="0.25">
      <c r="B14" s="99"/>
      <c r="C14" s="47" t="s">
        <v>57</v>
      </c>
      <c r="D14" s="176">
        <v>0.01</v>
      </c>
      <c r="E14" s="49" t="s">
        <v>58</v>
      </c>
      <c r="F14" s="217"/>
      <c r="G14" s="218"/>
      <c r="H14" s="218"/>
      <c r="I14" s="218"/>
      <c r="J14" s="218"/>
      <c r="K14" s="218"/>
      <c r="L14" s="218"/>
      <c r="M14" s="218"/>
      <c r="N14" s="218"/>
    </row>
    <row r="15" spans="2:14" x14ac:dyDescent="0.25">
      <c r="B15" s="100"/>
      <c r="C15" s="47" t="s">
        <v>120</v>
      </c>
      <c r="D15" s="95">
        <f>D13/D12</f>
        <v>3.8530465949820791E-2</v>
      </c>
      <c r="E15" s="49" t="str">
        <f ca="1">INDIRECT(ADDRESS(HelpSheet!B13,HelpSheet!F26,1,1,"HelpSheet"))</f>
        <v>[EUR/kWh]</v>
      </c>
      <c r="F15" s="217"/>
      <c r="G15" s="218"/>
      <c r="H15" s="218"/>
      <c r="I15" s="218"/>
      <c r="J15" s="218"/>
      <c r="K15" s="218"/>
      <c r="L15" s="218"/>
      <c r="M15" s="218"/>
      <c r="N15" s="218"/>
    </row>
    <row r="16" spans="2:14" ht="15" customHeight="1" x14ac:dyDescent="0.25">
      <c r="B16" s="100"/>
      <c r="C16" s="96" t="s">
        <v>131</v>
      </c>
      <c r="D16" s="95">
        <f>HelpSheet!Y41</f>
        <v>4.2420124183524088E-2</v>
      </c>
      <c r="E16" s="49" t="str">
        <f ca="1">INDIRECT(ADDRESS(HelpSheet!B13,HelpSheet!F26,1,1,"HelpSheet"))</f>
        <v>[EUR/kWh]</v>
      </c>
      <c r="F16" s="217"/>
      <c r="G16" s="218"/>
      <c r="H16" s="218"/>
      <c r="I16" s="218"/>
      <c r="J16" s="218"/>
      <c r="K16" s="218"/>
      <c r="L16" s="218"/>
      <c r="M16" s="218"/>
      <c r="N16" s="218"/>
    </row>
    <row r="17" spans="2:14" x14ac:dyDescent="0.25">
      <c r="B17" s="101"/>
      <c r="C17" s="97" t="s">
        <v>244</v>
      </c>
      <c r="D17" s="178">
        <v>0.01</v>
      </c>
      <c r="E17" s="49" t="s">
        <v>265</v>
      </c>
      <c r="F17" s="217"/>
      <c r="G17" s="218"/>
      <c r="H17" s="218"/>
      <c r="I17" s="218"/>
      <c r="J17" s="218"/>
      <c r="K17" s="218"/>
      <c r="L17" s="218"/>
      <c r="M17" s="218"/>
      <c r="N17" s="218"/>
    </row>
    <row r="18" spans="2:14" ht="15" customHeight="1" x14ac:dyDescent="0.25">
      <c r="B18" s="133" t="s">
        <v>295</v>
      </c>
      <c r="C18" s="47" t="s">
        <v>61</v>
      </c>
      <c r="D18" s="162">
        <v>893</v>
      </c>
      <c r="E18" s="49" t="s">
        <v>219</v>
      </c>
      <c r="F18" s="217" t="s">
        <v>275</v>
      </c>
      <c r="G18" s="218"/>
      <c r="H18" s="218"/>
      <c r="I18" s="218"/>
      <c r="J18" s="218"/>
      <c r="K18" s="218"/>
      <c r="L18" s="218"/>
      <c r="M18" s="218"/>
      <c r="N18" s="218"/>
    </row>
    <row r="19" spans="2:14" x14ac:dyDescent="0.25">
      <c r="B19" s="99"/>
      <c r="C19" s="47" t="s">
        <v>121</v>
      </c>
      <c r="D19" s="175">
        <v>30</v>
      </c>
      <c r="E19" s="49" t="str">
        <f ca="1">INDIRECT(ADDRESS(HelpSheet!B11,HelpSheet!F26,1,1,"HelpSheet"))</f>
        <v>[EUR/m³ (loose)]</v>
      </c>
      <c r="F19" s="217"/>
      <c r="G19" s="218"/>
      <c r="H19" s="218"/>
      <c r="I19" s="218"/>
      <c r="J19" s="218"/>
      <c r="K19" s="218"/>
      <c r="L19" s="218"/>
      <c r="M19" s="218"/>
      <c r="N19" s="218"/>
    </row>
    <row r="20" spans="2:14" ht="15" customHeight="1" x14ac:dyDescent="0.25">
      <c r="B20" s="99"/>
      <c r="C20" s="47" t="s">
        <v>57</v>
      </c>
      <c r="D20" s="176">
        <v>0.01</v>
      </c>
      <c r="E20" s="49" t="s">
        <v>58</v>
      </c>
      <c r="F20" s="217"/>
      <c r="G20" s="218"/>
      <c r="H20" s="218"/>
      <c r="I20" s="218"/>
      <c r="J20" s="218"/>
      <c r="K20" s="218"/>
      <c r="L20" s="218"/>
      <c r="M20" s="218"/>
      <c r="N20" s="218"/>
    </row>
    <row r="21" spans="2:14" ht="15" customHeight="1" x14ac:dyDescent="0.25">
      <c r="B21" s="100"/>
      <c r="C21" s="47" t="s">
        <v>120</v>
      </c>
      <c r="D21" s="95">
        <f>D19/D18</f>
        <v>3.3594624860022397E-2</v>
      </c>
      <c r="E21" s="49" t="s">
        <v>59</v>
      </c>
      <c r="F21" s="217"/>
      <c r="G21" s="218"/>
      <c r="H21" s="218"/>
      <c r="I21" s="218"/>
      <c r="J21" s="218"/>
      <c r="K21" s="218"/>
      <c r="L21" s="218"/>
      <c r="M21" s="218"/>
      <c r="N21" s="218"/>
    </row>
    <row r="22" spans="2:14" x14ac:dyDescent="0.25">
      <c r="B22" s="100"/>
      <c r="C22" s="96" t="s">
        <v>131</v>
      </c>
      <c r="D22" s="95">
        <f>HelpSheet!Y42</f>
        <v>3.6986008949826461E-2</v>
      </c>
      <c r="E22" s="49" t="str">
        <f ca="1">INDIRECT(ADDRESS(HelpSheet!B13,HelpSheet!F26,1,1,"HelpSheet"))</f>
        <v>[EUR/kWh]</v>
      </c>
      <c r="F22" s="217"/>
      <c r="G22" s="218"/>
      <c r="H22" s="218"/>
      <c r="I22" s="218"/>
      <c r="J22" s="218"/>
      <c r="K22" s="218"/>
      <c r="L22" s="218"/>
      <c r="M22" s="218"/>
      <c r="N22" s="218"/>
    </row>
    <row r="23" spans="2:14" x14ac:dyDescent="0.25">
      <c r="B23" s="101"/>
      <c r="C23" s="97" t="s">
        <v>244</v>
      </c>
      <c r="D23" s="178">
        <v>0.01</v>
      </c>
      <c r="E23" s="49" t="s">
        <v>265</v>
      </c>
      <c r="F23" s="217"/>
      <c r="G23" s="218"/>
      <c r="H23" s="218"/>
      <c r="I23" s="218"/>
      <c r="J23" s="218"/>
      <c r="K23" s="218"/>
      <c r="L23" s="218"/>
      <c r="M23" s="218"/>
      <c r="N23" s="218"/>
    </row>
    <row r="24" spans="2:14" x14ac:dyDescent="0.25">
      <c r="B24" s="133" t="s">
        <v>232</v>
      </c>
      <c r="C24" s="47" t="s">
        <v>61</v>
      </c>
      <c r="D24" s="179">
        <v>11.3</v>
      </c>
      <c r="E24" s="49" t="s">
        <v>63</v>
      </c>
      <c r="F24" s="217" t="s">
        <v>301</v>
      </c>
      <c r="G24" s="218"/>
      <c r="H24" s="218"/>
      <c r="I24" s="218"/>
      <c r="J24" s="218"/>
      <c r="K24" s="218"/>
      <c r="L24" s="218"/>
      <c r="M24" s="218"/>
      <c r="N24" s="218"/>
    </row>
    <row r="25" spans="2:14" x14ac:dyDescent="0.25">
      <c r="B25" s="99"/>
      <c r="C25" s="47" t="s">
        <v>121</v>
      </c>
      <c r="D25" s="175">
        <v>0.33</v>
      </c>
      <c r="E25" s="49" t="str">
        <f ca="1">INDIRECT(ADDRESS(HelpSheet!B6,HelpSheet!F26,1,1,"HelpSheet"))</f>
        <v>[EUR/m³]</v>
      </c>
      <c r="F25" s="217"/>
      <c r="G25" s="218"/>
      <c r="H25" s="218"/>
      <c r="I25" s="218"/>
      <c r="J25" s="218"/>
      <c r="K25" s="218"/>
      <c r="L25" s="218"/>
      <c r="M25" s="218"/>
      <c r="N25" s="218"/>
    </row>
    <row r="26" spans="2:14" ht="15" customHeight="1" x14ac:dyDescent="0.25">
      <c r="B26" s="99"/>
      <c r="C26" s="47" t="s">
        <v>57</v>
      </c>
      <c r="D26" s="176">
        <v>0.02</v>
      </c>
      <c r="E26" s="49" t="s">
        <v>58</v>
      </c>
      <c r="F26" s="217"/>
      <c r="G26" s="218"/>
      <c r="H26" s="218"/>
      <c r="I26" s="218"/>
      <c r="J26" s="218"/>
      <c r="K26" s="218"/>
      <c r="L26" s="218"/>
      <c r="M26" s="218"/>
      <c r="N26" s="218"/>
    </row>
    <row r="27" spans="2:14" ht="17.25" customHeight="1" x14ac:dyDescent="0.25">
      <c r="B27" s="100"/>
      <c r="C27" s="47" t="s">
        <v>120</v>
      </c>
      <c r="D27" s="95">
        <f>D25/D24</f>
        <v>2.9203539823008849E-2</v>
      </c>
      <c r="E27" s="49" t="str">
        <f ca="1">INDIRECT(ADDRESS(HelpSheet!B13,HelpSheet!F26,1,1,"HelpSheet"))</f>
        <v>[EUR/kWh]</v>
      </c>
      <c r="F27" s="217"/>
      <c r="G27" s="218"/>
      <c r="H27" s="218"/>
      <c r="I27" s="218"/>
      <c r="J27" s="218"/>
      <c r="K27" s="218"/>
      <c r="L27" s="218"/>
      <c r="M27" s="218"/>
      <c r="N27" s="218"/>
    </row>
    <row r="28" spans="2:14" x14ac:dyDescent="0.25">
      <c r="B28" s="100"/>
      <c r="C28" s="96" t="s">
        <v>131</v>
      </c>
      <c r="D28" s="95">
        <f>HelpSheet!Y43</f>
        <v>3.5478460325853313E-2</v>
      </c>
      <c r="E28" s="49" t="str">
        <f ca="1">INDIRECT(ADDRESS(HelpSheet!B13,HelpSheet!F26,1,1,"HelpSheet"))</f>
        <v>[EUR/kWh]</v>
      </c>
      <c r="F28" s="217"/>
      <c r="G28" s="218"/>
      <c r="H28" s="218"/>
      <c r="I28" s="218"/>
      <c r="J28" s="218"/>
      <c r="K28" s="218"/>
      <c r="L28" s="218"/>
      <c r="M28" s="218"/>
      <c r="N28" s="218"/>
    </row>
    <row r="29" spans="2:14" x14ac:dyDescent="0.25">
      <c r="B29" s="101"/>
      <c r="C29" s="97" t="s">
        <v>244</v>
      </c>
      <c r="D29" s="178">
        <v>0.247</v>
      </c>
      <c r="E29" s="49" t="s">
        <v>265</v>
      </c>
      <c r="F29" s="217"/>
      <c r="G29" s="218"/>
      <c r="H29" s="218"/>
      <c r="I29" s="218"/>
      <c r="J29" s="218"/>
      <c r="K29" s="218"/>
      <c r="L29" s="218"/>
      <c r="M29" s="218"/>
      <c r="N29" s="218"/>
    </row>
    <row r="30" spans="2:14" ht="15" customHeight="1" x14ac:dyDescent="0.25">
      <c r="B30" s="133" t="s">
        <v>1</v>
      </c>
      <c r="C30" s="47" t="s">
        <v>61</v>
      </c>
      <c r="D30" s="175">
        <v>10</v>
      </c>
      <c r="E30" s="49" t="s">
        <v>62</v>
      </c>
      <c r="F30" s="217" t="s">
        <v>302</v>
      </c>
      <c r="G30" s="218"/>
      <c r="H30" s="218"/>
      <c r="I30" s="218"/>
      <c r="J30" s="218"/>
      <c r="K30" s="218"/>
      <c r="L30" s="218"/>
      <c r="M30" s="218"/>
      <c r="N30" s="218"/>
    </row>
    <row r="31" spans="2:14" ht="15" customHeight="1" x14ac:dyDescent="0.25">
      <c r="B31" s="99" t="s">
        <v>276</v>
      </c>
      <c r="C31" s="47" t="s">
        <v>121</v>
      </c>
      <c r="D31" s="174">
        <v>0.65</v>
      </c>
      <c r="E31" s="49" t="str">
        <f ca="1">INDIRECT(ADDRESS(HelpSheet!B7,HelpSheet!F26,1,1,"HelpSheet"))</f>
        <v>[EUR/l]</v>
      </c>
      <c r="F31" s="217"/>
      <c r="G31" s="218"/>
      <c r="H31" s="218"/>
      <c r="I31" s="218"/>
      <c r="J31" s="218"/>
      <c r="K31" s="218"/>
      <c r="L31" s="218"/>
      <c r="M31" s="218"/>
      <c r="N31" s="218"/>
    </row>
    <row r="32" spans="2:14" x14ac:dyDescent="0.25">
      <c r="B32" s="99"/>
      <c r="C32" s="47" t="s">
        <v>57</v>
      </c>
      <c r="D32" s="176">
        <v>0.02</v>
      </c>
      <c r="E32" s="49" t="s">
        <v>58</v>
      </c>
      <c r="F32" s="217"/>
      <c r="G32" s="218"/>
      <c r="H32" s="218"/>
      <c r="I32" s="218"/>
      <c r="J32" s="218"/>
      <c r="K32" s="218"/>
      <c r="L32" s="218"/>
      <c r="M32" s="218"/>
      <c r="N32" s="218"/>
    </row>
    <row r="33" spans="1:14" x14ac:dyDescent="0.25">
      <c r="B33" s="100"/>
      <c r="C33" s="47" t="s">
        <v>120</v>
      </c>
      <c r="D33" s="95">
        <f>D31/D30</f>
        <v>6.5000000000000002E-2</v>
      </c>
      <c r="E33" s="49" t="str">
        <f ca="1">INDIRECT(ADDRESS(HelpSheet!B13,HelpSheet!F26,1,1,"HelpSheet"))</f>
        <v>[EUR/kWh]</v>
      </c>
      <c r="F33" s="217"/>
      <c r="G33" s="218"/>
      <c r="H33" s="218"/>
      <c r="I33" s="218"/>
      <c r="J33" s="218"/>
      <c r="K33" s="218"/>
      <c r="L33" s="218"/>
      <c r="M33" s="218"/>
      <c r="N33" s="218"/>
    </row>
    <row r="34" spans="1:14" ht="15" customHeight="1" x14ac:dyDescent="0.25">
      <c r="B34" s="100"/>
      <c r="C34" s="96" t="s">
        <v>131</v>
      </c>
      <c r="D34" s="95">
        <f>HelpSheet!Y44</f>
        <v>7.8966451846482599E-2</v>
      </c>
      <c r="E34" s="49" t="str">
        <f ca="1">INDIRECT(ADDRESS(HelpSheet!B13,HelpSheet!F26,1,1,"HelpSheet"))</f>
        <v>[EUR/kWh]</v>
      </c>
      <c r="F34" s="217"/>
      <c r="G34" s="218"/>
      <c r="H34" s="218"/>
      <c r="I34" s="218"/>
      <c r="J34" s="218"/>
      <c r="K34" s="218"/>
      <c r="L34" s="218"/>
      <c r="M34" s="218"/>
      <c r="N34" s="218"/>
    </row>
    <row r="35" spans="1:14" x14ac:dyDescent="0.25">
      <c r="B35" s="101"/>
      <c r="C35" s="97" t="s">
        <v>244</v>
      </c>
      <c r="D35" s="178">
        <v>0.31</v>
      </c>
      <c r="E35" s="49" t="s">
        <v>265</v>
      </c>
      <c r="F35" s="217"/>
      <c r="G35" s="218"/>
      <c r="H35" s="218"/>
      <c r="I35" s="218"/>
      <c r="J35" s="218"/>
      <c r="K35" s="218"/>
      <c r="L35" s="218"/>
      <c r="M35" s="218"/>
      <c r="N35" s="218"/>
    </row>
    <row r="36" spans="1:14" x14ac:dyDescent="0.25">
      <c r="B36" s="133" t="s">
        <v>25</v>
      </c>
      <c r="C36" s="47" t="s">
        <v>61</v>
      </c>
      <c r="D36" s="175">
        <v>8</v>
      </c>
      <c r="E36" s="49" t="s">
        <v>56</v>
      </c>
      <c r="F36" s="217" t="s">
        <v>303</v>
      </c>
      <c r="G36" s="218"/>
      <c r="H36" s="218"/>
      <c r="I36" s="218"/>
      <c r="J36" s="218"/>
      <c r="K36" s="218"/>
      <c r="L36" s="218"/>
      <c r="M36" s="218"/>
      <c r="N36" s="218"/>
    </row>
    <row r="37" spans="1:14" x14ac:dyDescent="0.25">
      <c r="B37" s="99"/>
      <c r="C37" s="47" t="s">
        <v>121</v>
      </c>
      <c r="D37" s="175">
        <v>0.55000000000000004</v>
      </c>
      <c r="E37" s="49" t="str">
        <f ca="1">INDIRECT(ADDRESS(HelpSheet!B10,HelpSheet!F26,1,1,"HelpSheet"))</f>
        <v>[EUR/kg]</v>
      </c>
      <c r="F37" s="217"/>
      <c r="G37" s="218"/>
      <c r="H37" s="218"/>
      <c r="I37" s="218"/>
      <c r="J37" s="218"/>
      <c r="K37" s="218"/>
      <c r="L37" s="218"/>
      <c r="M37" s="218"/>
      <c r="N37" s="218"/>
    </row>
    <row r="38" spans="1:14" x14ac:dyDescent="0.25">
      <c r="B38" s="99"/>
      <c r="C38" s="47" t="s">
        <v>57</v>
      </c>
      <c r="D38" s="176">
        <v>0.02</v>
      </c>
      <c r="E38" s="49" t="s">
        <v>58</v>
      </c>
      <c r="F38" s="217"/>
      <c r="G38" s="218"/>
      <c r="H38" s="218"/>
      <c r="I38" s="218"/>
      <c r="J38" s="218"/>
      <c r="K38" s="218"/>
      <c r="L38" s="218"/>
      <c r="M38" s="218"/>
      <c r="N38" s="218"/>
    </row>
    <row r="39" spans="1:14" x14ac:dyDescent="0.25">
      <c r="B39" s="100"/>
      <c r="C39" s="47" t="s">
        <v>120</v>
      </c>
      <c r="D39" s="95">
        <f>D37/D36</f>
        <v>6.8750000000000006E-2</v>
      </c>
      <c r="E39" s="49" t="str">
        <f ca="1">INDIRECT(ADDRESS(HelpSheet!B13,HelpSheet!F26,1,1,"HelpSheet"))</f>
        <v>[EUR/kWh]</v>
      </c>
      <c r="F39" s="217"/>
      <c r="G39" s="218"/>
      <c r="H39" s="218"/>
      <c r="I39" s="218"/>
      <c r="J39" s="218"/>
      <c r="K39" s="218"/>
      <c r="L39" s="218"/>
      <c r="M39" s="218"/>
      <c r="N39" s="218"/>
    </row>
    <row r="40" spans="1:14" x14ac:dyDescent="0.25">
      <c r="B40" s="100"/>
      <c r="C40" s="96" t="s">
        <v>131</v>
      </c>
      <c r="D40" s="95">
        <f>HelpSheet!Y45</f>
        <v>8.3522208683779672E-2</v>
      </c>
      <c r="E40" s="49" t="str">
        <f ca="1">INDIRECT(ADDRESS(HelpSheet!B13,HelpSheet!F26,1,1,"HelpSheet"))</f>
        <v>[EUR/kWh]</v>
      </c>
      <c r="F40" s="217"/>
      <c r="G40" s="218"/>
      <c r="H40" s="218"/>
      <c r="I40" s="218"/>
      <c r="J40" s="218"/>
      <c r="K40" s="218"/>
      <c r="L40" s="218"/>
      <c r="M40" s="218"/>
      <c r="N40" s="218"/>
    </row>
    <row r="41" spans="1:14" ht="15" customHeight="1" x14ac:dyDescent="0.25">
      <c r="B41" s="101"/>
      <c r="C41" s="97" t="s">
        <v>244</v>
      </c>
      <c r="D41" s="178">
        <v>0.375</v>
      </c>
      <c r="E41" s="49" t="s">
        <v>265</v>
      </c>
      <c r="F41" s="217"/>
      <c r="G41" s="218"/>
      <c r="H41" s="218"/>
      <c r="I41" s="218"/>
      <c r="J41" s="218"/>
      <c r="K41" s="218"/>
      <c r="L41" s="218"/>
      <c r="M41" s="218"/>
      <c r="N41" s="218"/>
    </row>
    <row r="42" spans="1:14" ht="18" customHeight="1" x14ac:dyDescent="0.35">
      <c r="B42" s="133" t="s">
        <v>5</v>
      </c>
      <c r="C42" s="47" t="s">
        <v>61</v>
      </c>
      <c r="D42" s="87">
        <v>1</v>
      </c>
      <c r="E42" s="49" t="s">
        <v>60</v>
      </c>
      <c r="F42" s="217" t="s">
        <v>304</v>
      </c>
      <c r="G42" s="218"/>
      <c r="H42" s="218"/>
      <c r="I42" s="218"/>
      <c r="J42" s="218"/>
      <c r="K42" s="218"/>
      <c r="L42" s="218"/>
      <c r="M42" s="218"/>
      <c r="N42" s="218"/>
    </row>
    <row r="43" spans="1:14" x14ac:dyDescent="0.25">
      <c r="B43" s="99" t="s">
        <v>277</v>
      </c>
      <c r="C43" s="47" t="s">
        <v>121</v>
      </c>
      <c r="D43" s="175">
        <v>7.0000000000000007E-2</v>
      </c>
      <c r="E43" s="49" t="str">
        <f ca="1">INDIRECT(ADDRESS(HelpSheet!B9,HelpSheet!F26,1,1,"HelpSheet"))</f>
        <v>[EUR/kWhel]</v>
      </c>
      <c r="F43" s="217"/>
      <c r="G43" s="218"/>
      <c r="H43" s="218"/>
      <c r="I43" s="218"/>
      <c r="J43" s="218"/>
      <c r="K43" s="218"/>
      <c r="L43" s="218"/>
      <c r="M43" s="218"/>
      <c r="N43" s="218"/>
    </row>
    <row r="44" spans="1:14" x14ac:dyDescent="0.25">
      <c r="B44" s="99"/>
      <c r="C44" s="47" t="s">
        <v>57</v>
      </c>
      <c r="D44" s="176">
        <v>0.01</v>
      </c>
      <c r="E44" s="49" t="s">
        <v>58</v>
      </c>
      <c r="F44" s="217"/>
      <c r="G44" s="218"/>
      <c r="H44" s="218"/>
      <c r="I44" s="218"/>
      <c r="J44" s="218"/>
      <c r="K44" s="218"/>
      <c r="L44" s="218"/>
      <c r="M44" s="218"/>
      <c r="N44" s="218"/>
    </row>
    <row r="45" spans="1:14" x14ac:dyDescent="0.25">
      <c r="B45" s="100"/>
      <c r="C45" s="47" t="s">
        <v>120</v>
      </c>
      <c r="D45" s="95">
        <v>6.6600000000000006E-2</v>
      </c>
      <c r="E45" s="49" t="str">
        <f ca="1">INDIRECT(ADDRESS(HelpSheet!B13,HelpSheet!F26,1,1,"HelpSheet"))</f>
        <v>[EUR/kWh]</v>
      </c>
      <c r="F45" s="217"/>
      <c r="G45" s="218"/>
      <c r="H45" s="218"/>
      <c r="I45" s="218"/>
      <c r="J45" s="218"/>
      <c r="K45" s="218"/>
      <c r="L45" s="218"/>
      <c r="M45" s="218"/>
      <c r="N45" s="218"/>
    </row>
    <row r="46" spans="1:14" x14ac:dyDescent="0.25">
      <c r="B46" s="100"/>
      <c r="C46" s="47" t="s">
        <v>131</v>
      </c>
      <c r="D46" s="95">
        <f>HelpSheet!Y46</f>
        <v>7.3323283302672987E-2</v>
      </c>
      <c r="E46" s="49" t="str">
        <f ca="1">INDIRECT(ADDRESS(HelpSheet!B13,HelpSheet!F26,1,1,"HelpSheet"))</f>
        <v>[EUR/kWh]</v>
      </c>
      <c r="F46" s="217"/>
      <c r="G46" s="218"/>
      <c r="H46" s="218"/>
      <c r="I46" s="218"/>
      <c r="J46" s="218"/>
      <c r="K46" s="218"/>
      <c r="L46" s="218"/>
      <c r="M46" s="218"/>
      <c r="N46" s="218"/>
    </row>
    <row r="47" spans="1:14" ht="62.25" customHeight="1" thickBot="1" x14ac:dyDescent="0.3">
      <c r="B47" s="102"/>
      <c r="C47" s="138" t="s">
        <v>243</v>
      </c>
      <c r="D47" s="180">
        <v>0.22700000000000001</v>
      </c>
      <c r="E47" s="139" t="s">
        <v>265</v>
      </c>
      <c r="F47" s="217"/>
      <c r="G47" s="218"/>
      <c r="H47" s="218"/>
      <c r="I47" s="218"/>
      <c r="J47" s="218"/>
      <c r="K47" s="218"/>
      <c r="L47" s="218"/>
      <c r="M47" s="218"/>
      <c r="N47" s="218"/>
    </row>
    <row r="48" spans="1:14" ht="62.25" customHeight="1" x14ac:dyDescent="0.25">
      <c r="A48" s="1"/>
      <c r="E48" s="113"/>
      <c r="F48" s="113"/>
      <c r="G48" s="113"/>
      <c r="H48" s="113"/>
      <c r="I48" s="113"/>
      <c r="J48" s="113"/>
      <c r="K48" s="113"/>
      <c r="L48" s="113"/>
      <c r="M48" s="113"/>
      <c r="N48" s="113"/>
    </row>
    <row r="49" spans="1:14" x14ac:dyDescent="0.25">
      <c r="A49" s="1"/>
      <c r="B49" s="15"/>
      <c r="C49" s="15"/>
      <c r="D49" s="15"/>
      <c r="E49" s="113"/>
      <c r="F49" s="113"/>
      <c r="G49" s="113"/>
      <c r="H49" s="113"/>
      <c r="I49" s="113"/>
      <c r="J49" s="113"/>
      <c r="K49" s="113"/>
      <c r="L49" s="113"/>
      <c r="M49" s="113"/>
      <c r="N49" s="113"/>
    </row>
    <row r="50" spans="1:14" x14ac:dyDescent="0.25">
      <c r="A50" s="89" t="s">
        <v>214</v>
      </c>
      <c r="B50" s="90" t="s">
        <v>212</v>
      </c>
      <c r="C50" s="90"/>
      <c r="D50" s="90"/>
      <c r="E50" s="90"/>
      <c r="F50" s="94"/>
      <c r="G50" s="94"/>
      <c r="H50" s="94"/>
      <c r="I50" s="94"/>
      <c r="J50" s="94"/>
      <c r="K50" s="94"/>
      <c r="L50" s="94"/>
      <c r="M50" s="94"/>
      <c r="N50" s="135"/>
    </row>
    <row r="51" spans="1:14" x14ac:dyDescent="0.25">
      <c r="A51" s="181" t="s">
        <v>213</v>
      </c>
      <c r="B51" s="169" t="s">
        <v>215</v>
      </c>
      <c r="N51" s="113"/>
    </row>
    <row r="52" spans="1:14" x14ac:dyDescent="0.25">
      <c r="A52" s="181" t="s">
        <v>216</v>
      </c>
      <c r="B52" s="182" t="s">
        <v>260</v>
      </c>
      <c r="N52" s="113"/>
    </row>
    <row r="53" spans="1:14" x14ac:dyDescent="0.25">
      <c r="A53" s="181" t="s">
        <v>217</v>
      </c>
      <c r="B53" s="182" t="s">
        <v>259</v>
      </c>
      <c r="N53" s="113"/>
    </row>
    <row r="54" spans="1:14" x14ac:dyDescent="0.25">
      <c r="A54" s="181" t="s">
        <v>218</v>
      </c>
      <c r="B54" s="182" t="s">
        <v>258</v>
      </c>
      <c r="M54" s="113"/>
      <c r="N54" s="113"/>
    </row>
    <row r="55" spans="1:14" x14ac:dyDescent="0.25">
      <c r="A55" s="181" t="s">
        <v>225</v>
      </c>
      <c r="B55" s="182" t="s">
        <v>226</v>
      </c>
    </row>
    <row r="56" spans="1:14" x14ac:dyDescent="0.25">
      <c r="A56" s="181" t="s">
        <v>227</v>
      </c>
      <c r="B56" s="182" t="s">
        <v>261</v>
      </c>
      <c r="M56" s="108"/>
      <c r="N56" s="108"/>
    </row>
    <row r="57" spans="1:14" x14ac:dyDescent="0.25">
      <c r="A57" s="181" t="s">
        <v>228</v>
      </c>
      <c r="B57" s="182" t="s">
        <v>262</v>
      </c>
      <c r="M57" s="108"/>
      <c r="N57" s="108"/>
    </row>
    <row r="58" spans="1:14" x14ac:dyDescent="0.25">
      <c r="A58" s="181" t="s">
        <v>229</v>
      </c>
      <c r="B58" s="182" t="s">
        <v>230</v>
      </c>
      <c r="M58" s="108"/>
      <c r="N58" s="108"/>
    </row>
    <row r="59" spans="1:14" x14ac:dyDescent="0.25">
      <c r="A59" s="181" t="s">
        <v>231</v>
      </c>
      <c r="B59" s="182" t="s">
        <v>256</v>
      </c>
    </row>
    <row r="60" spans="1:14" x14ac:dyDescent="0.25">
      <c r="A60" s="181" t="s">
        <v>233</v>
      </c>
      <c r="B60" s="182" t="s">
        <v>257</v>
      </c>
    </row>
    <row r="61" spans="1:14" x14ac:dyDescent="0.25">
      <c r="A61" s="181" t="s">
        <v>234</v>
      </c>
      <c r="B61" s="182" t="s">
        <v>235</v>
      </c>
    </row>
    <row r="62" spans="1:14" x14ac:dyDescent="0.25">
      <c r="A62" s="181" t="s">
        <v>236</v>
      </c>
      <c r="B62" s="182" t="s">
        <v>237</v>
      </c>
    </row>
    <row r="63" spans="1:14" x14ac:dyDescent="0.25">
      <c r="A63" s="181" t="s">
        <v>245</v>
      </c>
      <c r="B63" s="182" t="s">
        <v>263</v>
      </c>
    </row>
    <row r="64" spans="1:14" x14ac:dyDescent="0.25">
      <c r="A64" s="181" t="s">
        <v>246</v>
      </c>
      <c r="B64" s="182" t="s">
        <v>264</v>
      </c>
    </row>
    <row r="65" spans="1:2" x14ac:dyDescent="0.25">
      <c r="A65" s="181"/>
      <c r="B65" s="169"/>
    </row>
    <row r="66" spans="1:2" x14ac:dyDescent="0.25">
      <c r="A66" s="181"/>
      <c r="B66" s="169"/>
    </row>
    <row r="67" spans="1:2" x14ac:dyDescent="0.25">
      <c r="A67" s="181"/>
      <c r="B67" s="169"/>
    </row>
    <row r="68" spans="1:2" x14ac:dyDescent="0.25">
      <c r="A68" s="169"/>
      <c r="B68" s="169"/>
    </row>
    <row r="69" spans="1:2" x14ac:dyDescent="0.25">
      <c r="A69" s="169"/>
      <c r="B69" s="169"/>
    </row>
    <row r="70" spans="1:2" x14ac:dyDescent="0.25">
      <c r="A70" s="169"/>
      <c r="B70" s="169"/>
    </row>
    <row r="71" spans="1:2" x14ac:dyDescent="0.25">
      <c r="A71" s="169"/>
      <c r="B71" s="169"/>
    </row>
    <row r="72" spans="1:2" x14ac:dyDescent="0.25">
      <c r="A72" s="169"/>
      <c r="B72" s="169"/>
    </row>
    <row r="73" spans="1:2" x14ac:dyDescent="0.25">
      <c r="A73" s="169"/>
      <c r="B73" s="169"/>
    </row>
    <row r="74" spans="1:2" x14ac:dyDescent="0.25">
      <c r="A74" s="169"/>
      <c r="B74" s="169"/>
    </row>
    <row r="75" spans="1:2" x14ac:dyDescent="0.25">
      <c r="A75" s="169"/>
      <c r="B75" s="169"/>
    </row>
    <row r="76" spans="1:2" x14ac:dyDescent="0.25">
      <c r="A76" s="169"/>
      <c r="B76" s="169"/>
    </row>
    <row r="77" spans="1:2" x14ac:dyDescent="0.25">
      <c r="A77" s="169"/>
      <c r="B77" s="169"/>
    </row>
    <row r="78" spans="1:2" x14ac:dyDescent="0.25">
      <c r="A78" s="169"/>
      <c r="B78" s="182"/>
    </row>
    <row r="79" spans="1:2" x14ac:dyDescent="0.25">
      <c r="A79" s="169"/>
      <c r="B79" s="182"/>
    </row>
    <row r="80" spans="1:2" x14ac:dyDescent="0.25">
      <c r="A80" s="169"/>
      <c r="B80" s="182"/>
    </row>
    <row r="81" spans="1:12" x14ac:dyDescent="0.25">
      <c r="A81" s="169"/>
      <c r="B81" s="169"/>
    </row>
    <row r="82" spans="1:12" x14ac:dyDescent="0.25">
      <c r="A82" s="169"/>
      <c r="B82" s="169"/>
    </row>
    <row r="83" spans="1:12" x14ac:dyDescent="0.25">
      <c r="A83" s="169"/>
      <c r="B83" s="169"/>
    </row>
    <row r="84" spans="1:12" x14ac:dyDescent="0.25">
      <c r="A84" s="169"/>
      <c r="B84" s="169"/>
      <c r="H84" s="12"/>
    </row>
    <row r="85" spans="1:12" x14ac:dyDescent="0.25">
      <c r="A85" s="169"/>
      <c r="B85" s="169"/>
      <c r="H85" s="12"/>
    </row>
    <row r="86" spans="1:12" x14ac:dyDescent="0.25">
      <c r="A86" s="169"/>
      <c r="B86" s="182"/>
      <c r="H86" s="12"/>
      <c r="I86"/>
    </row>
    <row r="87" spans="1:12" x14ac:dyDescent="0.25">
      <c r="A87" s="169"/>
      <c r="B87" s="182"/>
      <c r="H87" s="12"/>
      <c r="J87" s="71"/>
    </row>
    <row r="88" spans="1:12" x14ac:dyDescent="0.25">
      <c r="A88" s="169"/>
      <c r="B88" s="182"/>
      <c r="H88" s="12"/>
    </row>
    <row r="89" spans="1:12" x14ac:dyDescent="0.25">
      <c r="A89" s="169"/>
      <c r="B89" s="182"/>
      <c r="H89" s="12"/>
    </row>
    <row r="90" spans="1:12" x14ac:dyDescent="0.25">
      <c r="A90" s="169"/>
      <c r="B90" s="182"/>
      <c r="H90" s="12"/>
    </row>
    <row r="91" spans="1:12" x14ac:dyDescent="0.25">
      <c r="A91" s="169"/>
      <c r="B91" s="169"/>
      <c r="H91" s="12"/>
    </row>
    <row r="92" spans="1:12" x14ac:dyDescent="0.25">
      <c r="A92" s="169"/>
      <c r="B92" s="169"/>
    </row>
    <row r="93" spans="1:12" x14ac:dyDescent="0.25">
      <c r="A93" s="169"/>
      <c r="B93" s="169"/>
    </row>
    <row r="94" spans="1:12" x14ac:dyDescent="0.25">
      <c r="A94" s="169"/>
      <c r="B94" s="169"/>
    </row>
    <row r="95" spans="1:12" x14ac:dyDescent="0.25">
      <c r="A95" s="169"/>
      <c r="B95" s="169"/>
      <c r="K95" s="109"/>
      <c r="L95" s="109"/>
    </row>
    <row r="96" spans="1:12" x14ac:dyDescent="0.25">
      <c r="A96" s="169"/>
      <c r="B96" s="169"/>
    </row>
    <row r="97" spans="1:9" x14ac:dyDescent="0.25">
      <c r="A97" s="169"/>
      <c r="B97" s="169"/>
    </row>
    <row r="100" spans="1:9" x14ac:dyDescent="0.25">
      <c r="I100" s="111"/>
    </row>
    <row r="101" spans="1:9" x14ac:dyDescent="0.25">
      <c r="I101" s="111"/>
    </row>
    <row r="102" spans="1:9" x14ac:dyDescent="0.25">
      <c r="H102" s="71"/>
      <c r="I102" s="109"/>
    </row>
    <row r="103" spans="1:9" x14ac:dyDescent="0.25">
      <c r="F103" s="111"/>
      <c r="I103" s="110"/>
    </row>
    <row r="106" spans="1:9" x14ac:dyDescent="0.25">
      <c r="I106" s="109"/>
    </row>
    <row r="107" spans="1:9" x14ac:dyDescent="0.25">
      <c r="E107" s="112"/>
      <c r="F107" s="109"/>
      <c r="I107" s="109"/>
    </row>
    <row r="108" spans="1:9" x14ac:dyDescent="0.25">
      <c r="I108" s="110"/>
    </row>
  </sheetData>
  <sheetProtection sheet="1" objects="1" scenarios="1"/>
  <mergeCells count="8">
    <mergeCell ref="F30:N35"/>
    <mergeCell ref="F36:N41"/>
    <mergeCell ref="F42:N47"/>
    <mergeCell ref="B4:E4"/>
    <mergeCell ref="F6:N11"/>
    <mergeCell ref="F12:N17"/>
    <mergeCell ref="F18:N23"/>
    <mergeCell ref="F24:N29"/>
  </mergeCells>
  <hyperlinks>
    <hyperlink ref="B52" r:id="rId1" display="https://www.propellets.at/aktuelle-pelletpreise" xr:uid="{6C492997-589D-4145-B039-41E0D053F6A2}"/>
    <hyperlink ref="B53" r:id="rId2" display="Calculation of wood fuel parameters - V1.8 - international version" xr:uid="{9F0E426B-1EE6-42FC-8020-B71D902171E6}"/>
    <hyperlink ref="B54" r:id="rId3" display="Statistik Austria: Land- und Forstwirtschaftliche Erzeugerpreise" xr:uid="{F1893372-B13E-4474-BDD6-B51468938401}"/>
    <hyperlink ref="B55" r:id="rId4" xr:uid="{27199F4D-FD71-4736-850B-C7DE3D0BCEF7}"/>
    <hyperlink ref="B56" r:id="rId5" display="The engineering ToolBox" xr:uid="{D4878B44-73DA-4ADD-9FEA-4BC918D18589}"/>
    <hyperlink ref="B57" r:id="rId6" display="Brennstoffe im Vergleich" xr:uid="{B9F767CC-C8AD-4435-90EB-453E8AC69A0F}"/>
    <hyperlink ref="B58" r:id="rId7" xr:uid="{8ECC5873-D911-46C2-A384-417C3BEC21DC}"/>
    <hyperlink ref="B61" r:id="rId8" xr:uid="{EA962AB0-288C-4FAC-ADC5-296196B03DB4}"/>
    <hyperlink ref="B59" r:id="rId9" display="https://www.e-steiermark.com/fileadmin/privatkunden/gas/Gas_Privatkunden.pdf" xr:uid="{0FE109FF-CA3B-42F4-94EF-6E11867F91DF}"/>
    <hyperlink ref="B60" r:id="rId10" display="https://www.e-steiermark.com/fileadmin/user_upload/downloads/Kundeninformation_und_Preisblatt_Privatkunden_Strom.pdf" xr:uid="{4DE672A2-B56D-46AE-AFCB-948215DD501A}"/>
    <hyperlink ref="B62" r:id="rId11" xr:uid="{13E11AC1-1345-4716-83F5-AFD3C175DF44}"/>
    <hyperlink ref="B63" r:id="rId12" display="https://www.oib.or.at/sites/default/files/erlaeuternde_bemerkungen_richtlinie_6_12.04.19_0.pdf" xr:uid="{105C3E16-4C10-4B05-B61E-53A430615137}"/>
    <hyperlink ref="B64" r:id="rId13" display="OIB-RL 6, Energieeinsparung und Wärmeschutz. OIB-330.6-026/19. April 2019" xr:uid="{9CC2014D-2E77-4AC7-AF79-8E81E4876589}"/>
  </hyperlinks>
  <pageMargins left="0.7" right="0.7" top="0.78740157499999996" bottom="0.78740157499999996" header="0.3" footer="0.3"/>
  <pageSetup paperSize="9" orientation="portrait" horizontalDpi="4294967292" verticalDpi="1200" r:id="rId14"/>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200-000002000000}">
          <x14:formula1>
            <xm:f>HelpSheet!$D$50:$D$53</xm:f>
          </x14:formula1>
          <xm:sqref>H2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9"/>
  <sheetViews>
    <sheetView showGridLines="0" workbookViewId="0">
      <selection activeCell="D9" sqref="D9"/>
    </sheetView>
  </sheetViews>
  <sheetFormatPr baseColWidth="10" defaultRowHeight="15" x14ac:dyDescent="0.25"/>
  <cols>
    <col min="1" max="1" width="5.28515625" customWidth="1"/>
    <col min="2" max="2" width="64.28515625" bestFit="1" customWidth="1"/>
    <col min="3" max="3" width="17.85546875" bestFit="1" customWidth="1"/>
    <col min="4" max="4" width="18.28515625" customWidth="1"/>
    <col min="5" max="5" width="1.28515625" customWidth="1"/>
    <col min="6" max="6" width="37.140625" bestFit="1" customWidth="1"/>
    <col min="7" max="7" width="17.85546875" style="116" bestFit="1" customWidth="1"/>
    <col min="8" max="8" width="14.28515625" customWidth="1"/>
    <col min="9" max="9" width="6.28515625" customWidth="1"/>
    <col min="10" max="10" width="8" style="15" customWidth="1"/>
    <col min="11" max="11" width="29.140625" style="15" customWidth="1"/>
    <col min="12" max="12" width="11.85546875" bestFit="1" customWidth="1"/>
  </cols>
  <sheetData>
    <row r="1" spans="1:12" x14ac:dyDescent="0.25">
      <c r="B1" s="12" t="s">
        <v>239</v>
      </c>
      <c r="C1" s="2"/>
    </row>
    <row r="2" spans="1:12" x14ac:dyDescent="0.25">
      <c r="B2" s="12" t="s">
        <v>132</v>
      </c>
      <c r="C2" s="3"/>
      <c r="F2" s="15"/>
    </row>
    <row r="3" spans="1:12" ht="15" customHeight="1" x14ac:dyDescent="0.25"/>
    <row r="4" spans="1:12" s="15" customFormat="1" x14ac:dyDescent="0.25">
      <c r="B4" s="187" t="s">
        <v>153</v>
      </c>
      <c r="C4" s="188"/>
      <c r="D4" s="188"/>
      <c r="E4" s="188"/>
      <c r="F4" s="188"/>
      <c r="G4" s="188"/>
      <c r="H4" s="189"/>
    </row>
    <row r="5" spans="1:12" x14ac:dyDescent="0.25">
      <c r="A5" s="15"/>
      <c r="B5" s="190"/>
      <c r="C5" s="191"/>
      <c r="D5" s="191"/>
      <c r="E5" s="191"/>
      <c r="F5" s="191"/>
      <c r="G5" s="191"/>
      <c r="H5" s="192"/>
      <c r="I5" s="221" t="s">
        <v>211</v>
      </c>
      <c r="J5" s="220"/>
      <c r="K5" s="220"/>
    </row>
    <row r="6" spans="1:12" ht="15" customHeight="1" x14ac:dyDescent="0.25">
      <c r="A6" s="15"/>
      <c r="B6" s="62" t="s">
        <v>151</v>
      </c>
      <c r="C6" s="193" t="s">
        <v>54</v>
      </c>
      <c r="D6" s="193" t="s">
        <v>107</v>
      </c>
      <c r="E6" s="18"/>
      <c r="F6" s="62" t="s">
        <v>150</v>
      </c>
      <c r="G6" s="193" t="s">
        <v>54</v>
      </c>
      <c r="H6" s="193" t="s">
        <v>107</v>
      </c>
      <c r="I6" s="171"/>
      <c r="J6" s="171"/>
      <c r="K6" s="171"/>
    </row>
    <row r="7" spans="1:12" x14ac:dyDescent="0.25">
      <c r="A7" s="15"/>
      <c r="B7" s="68" t="s">
        <v>179</v>
      </c>
      <c r="C7" s="194"/>
      <c r="D7" s="194"/>
      <c r="E7" s="15"/>
      <c r="F7" s="68" t="s">
        <v>179</v>
      </c>
      <c r="G7" s="194"/>
      <c r="H7" s="194"/>
      <c r="I7" s="171"/>
      <c r="J7" s="171"/>
      <c r="K7" s="171"/>
    </row>
    <row r="8" spans="1:12" x14ac:dyDescent="0.25">
      <c r="A8" s="15"/>
      <c r="B8" s="64" t="s">
        <v>148</v>
      </c>
      <c r="C8" s="195"/>
      <c r="D8" s="195"/>
      <c r="E8" s="15"/>
      <c r="F8" s="64" t="s">
        <v>145</v>
      </c>
      <c r="G8" s="195"/>
      <c r="H8" s="195"/>
      <c r="I8" s="171"/>
      <c r="J8" s="171"/>
      <c r="K8" s="171"/>
    </row>
    <row r="9" spans="1:12" x14ac:dyDescent="0.25">
      <c r="A9" s="15"/>
      <c r="B9" s="3" t="s">
        <v>21</v>
      </c>
      <c r="C9" s="116" t="s">
        <v>155</v>
      </c>
      <c r="D9" s="161" t="s">
        <v>1</v>
      </c>
      <c r="E9" s="15"/>
      <c r="F9" s="22" t="s">
        <v>158</v>
      </c>
      <c r="G9" s="23" t="s">
        <v>156</v>
      </c>
      <c r="H9" s="166">
        <v>20</v>
      </c>
      <c r="I9" s="171"/>
      <c r="J9" s="171"/>
      <c r="K9" s="171"/>
    </row>
    <row r="10" spans="1:12" x14ac:dyDescent="0.25">
      <c r="A10" s="15"/>
      <c r="B10" s="3" t="s">
        <v>79</v>
      </c>
      <c r="C10" s="23" t="str">
        <f ca="1">INDIRECT(ADDRESS(HelpSheet!C26,HelpSheet!C23,1,1,"HelpSheet"))</f>
        <v>[l/a]</v>
      </c>
      <c r="D10" s="162">
        <v>2900</v>
      </c>
      <c r="E10" s="15"/>
      <c r="F10" s="64" t="s">
        <v>133</v>
      </c>
      <c r="H10" s="15"/>
      <c r="I10" s="171"/>
      <c r="J10" s="171"/>
      <c r="K10" s="171"/>
    </row>
    <row r="11" spans="1:12" x14ac:dyDescent="0.25">
      <c r="A11" s="15"/>
      <c r="B11" s="3" t="s">
        <v>75</v>
      </c>
      <c r="C11" s="23" t="s">
        <v>65</v>
      </c>
      <c r="D11" s="4">
        <f ca="1">D10*INDIRECT(ADDRESS(HelpSheet!C30,HelpSheet!C28,1,1,"Boundary conditions"))</f>
        <v>29000</v>
      </c>
      <c r="E11" s="15"/>
      <c r="F11" s="3" t="s">
        <v>160</v>
      </c>
      <c r="G11" s="23" t="str">
        <f ca="1">INDIRECT(ADDRESS(HelpSheet!I6,HelpSheet!F31,1,1,"HelpSheet"))</f>
        <v>[EUR/a]</v>
      </c>
      <c r="H11" s="166">
        <v>0</v>
      </c>
      <c r="I11" s="222" t="str">
        <f ca="1">CONCATENATE("Notice that the heat price based on boundary conditions (fuel data) is equal to ",TEXT(INDIRECT(ADDRESS(HelpSheet!C31,HelpSheet!C28,1,1,"Boundary conditions")),"0,000"))</f>
        <v>Notice that the heat price based on boundary conditions (fuel data) is equal to 0,000</v>
      </c>
      <c r="J11" s="223"/>
      <c r="K11" s="223"/>
    </row>
    <row r="12" spans="1:12" x14ac:dyDescent="0.25">
      <c r="A12" s="15"/>
      <c r="B12" s="3" t="s">
        <v>74</v>
      </c>
      <c r="C12" s="23" t="s">
        <v>66</v>
      </c>
      <c r="D12" s="163">
        <v>0.68</v>
      </c>
      <c r="E12" s="15"/>
      <c r="F12" s="3" t="s">
        <v>161</v>
      </c>
      <c r="G12" s="23" t="str">
        <f ca="1">INDIRECT(ADDRESS(HelpSheet!I7,HelpSheet!F31,1,1,"HelpSheet"))</f>
        <v>[EUR/(kW.a)]</v>
      </c>
      <c r="H12" s="166">
        <v>0</v>
      </c>
      <c r="I12" s="222"/>
      <c r="J12" s="223"/>
      <c r="K12" s="223"/>
    </row>
    <row r="13" spans="1:12" x14ac:dyDescent="0.25">
      <c r="A13" s="15"/>
      <c r="B13" s="146" t="s">
        <v>281</v>
      </c>
      <c r="C13" s="117" t="s">
        <v>65</v>
      </c>
      <c r="D13" s="147">
        <f ca="1">D11*D12</f>
        <v>19720</v>
      </c>
      <c r="E13" s="15"/>
      <c r="F13" s="3" t="s">
        <v>162</v>
      </c>
      <c r="G13" s="23" t="str">
        <f ca="1">INDIRECT(ADDRESS(HelpSheet!I8,HelpSheet!F31,1,1,"HelpSheet"))</f>
        <v>[EUR/kWh]</v>
      </c>
      <c r="H13" s="167">
        <v>0.08</v>
      </c>
      <c r="I13" s="222"/>
      <c r="J13" s="223"/>
      <c r="K13" s="223"/>
      <c r="L13" s="72"/>
    </row>
    <row r="14" spans="1:12" x14ac:dyDescent="0.25">
      <c r="A14" s="15"/>
      <c r="B14" s="3" t="s">
        <v>73</v>
      </c>
      <c r="C14" s="23" t="s">
        <v>282</v>
      </c>
      <c r="D14" s="162">
        <v>1500</v>
      </c>
      <c r="F14" s="67" t="s">
        <v>8</v>
      </c>
      <c r="H14" s="15"/>
      <c r="I14" s="171"/>
      <c r="J14" s="171"/>
      <c r="K14" s="171"/>
    </row>
    <row r="15" spans="1:12" x14ac:dyDescent="0.25">
      <c r="A15" s="15"/>
      <c r="B15" s="146" t="s">
        <v>280</v>
      </c>
      <c r="C15" s="117" t="s">
        <v>67</v>
      </c>
      <c r="D15" s="148">
        <f ca="1">ROUND(D13/D14,0)</f>
        <v>13</v>
      </c>
      <c r="F15" s="9" t="s">
        <v>159</v>
      </c>
      <c r="G15" s="23" t="s">
        <v>66</v>
      </c>
      <c r="H15" s="165">
        <v>0</v>
      </c>
      <c r="I15" s="171"/>
      <c r="J15" s="171"/>
      <c r="K15" s="171"/>
    </row>
    <row r="16" spans="1:12" x14ac:dyDescent="0.25">
      <c r="A16" s="15"/>
      <c r="B16" s="64" t="s">
        <v>143</v>
      </c>
      <c r="C16" s="149"/>
      <c r="D16" s="21"/>
      <c r="F16" s="67" t="s">
        <v>112</v>
      </c>
      <c r="H16" s="15"/>
      <c r="I16" s="171"/>
      <c r="J16" s="171"/>
      <c r="K16" s="171"/>
    </row>
    <row r="17" spans="1:11" x14ac:dyDescent="0.25">
      <c r="A17" s="15"/>
      <c r="B17" s="3" t="s">
        <v>26</v>
      </c>
      <c r="C17" s="27" t="s">
        <v>188</v>
      </c>
      <c r="D17" s="162">
        <v>2</v>
      </c>
      <c r="F17" s="40" t="s">
        <v>163</v>
      </c>
      <c r="G17" s="23" t="str">
        <f ca="1">INDIRECT(ADDRESS(HelpSheet!I9,HelpSheet!F31,1,1,"HelpSheet"))</f>
        <v>[EUR]</v>
      </c>
      <c r="H17" s="164">
        <v>15000</v>
      </c>
      <c r="I17" s="224"/>
      <c r="J17" s="225"/>
      <c r="K17" s="225"/>
    </row>
    <row r="18" spans="1:11" x14ac:dyDescent="0.25">
      <c r="A18" s="15"/>
      <c r="B18" s="3" t="s">
        <v>69</v>
      </c>
      <c r="C18" s="23" t="s">
        <v>68</v>
      </c>
      <c r="D18" s="162">
        <v>500</v>
      </c>
      <c r="F18" s="41" t="s">
        <v>164</v>
      </c>
      <c r="G18" s="23" t="str">
        <f ca="1">INDIRECT(ADDRESS(HelpSheet!I10,HelpSheet!F31,1,1,"HelpSheet"))</f>
        <v>[EUR]</v>
      </c>
      <c r="H18" s="58">
        <f>MAX(0,(H17*(1-H15)-H19))</f>
        <v>11000</v>
      </c>
      <c r="I18" s="224"/>
      <c r="J18" s="225"/>
      <c r="K18" s="225"/>
    </row>
    <row r="19" spans="1:11" x14ac:dyDescent="0.25">
      <c r="A19" s="15"/>
      <c r="B19" s="56" t="s">
        <v>70</v>
      </c>
      <c r="C19" s="150" t="s">
        <v>65</v>
      </c>
      <c r="D19" s="57">
        <f>D18*D17</f>
        <v>1000</v>
      </c>
      <c r="F19" s="9" t="s">
        <v>113</v>
      </c>
      <c r="G19" s="23" t="str">
        <f ca="1">INDIRECT(ADDRESS(HelpSheet!I11,HelpSheet!F31,1,1,"HelpSheet"))</f>
        <v>[EUR]</v>
      </c>
      <c r="H19" s="58">
        <f>MIN('Boundary conditions'!K3,H17)</f>
        <v>4000</v>
      </c>
      <c r="I19" s="224"/>
      <c r="J19" s="225"/>
      <c r="K19" s="225"/>
    </row>
    <row r="20" spans="1:11" x14ac:dyDescent="0.25">
      <c r="A20" s="15"/>
      <c r="B20" s="55" t="s">
        <v>190</v>
      </c>
      <c r="C20" s="27" t="s">
        <v>155</v>
      </c>
      <c r="D20" s="163">
        <v>1</v>
      </c>
      <c r="F20" s="9" t="s">
        <v>193</v>
      </c>
      <c r="G20" s="23" t="s">
        <v>156</v>
      </c>
      <c r="H20" s="168">
        <f>MAX(1,MIN(INT(H18/1000),H9))</f>
        <v>11</v>
      </c>
      <c r="I20" s="224"/>
      <c r="J20" s="225"/>
      <c r="K20" s="225"/>
    </row>
    <row r="21" spans="1:11" x14ac:dyDescent="0.25">
      <c r="A21" s="15"/>
      <c r="C21" s="116"/>
      <c r="F21" s="67" t="s">
        <v>6</v>
      </c>
      <c r="H21" s="171"/>
      <c r="I21" s="171"/>
      <c r="J21" s="171"/>
      <c r="K21" s="171"/>
    </row>
    <row r="22" spans="1:11" x14ac:dyDescent="0.25">
      <c r="A22" s="15"/>
      <c r="C22" s="116"/>
      <c r="D22" s="15"/>
      <c r="F22" s="9" t="s">
        <v>166</v>
      </c>
      <c r="G22" s="23" t="str">
        <f ca="1">INDIRECT(ADDRESS(HelpSheet!I12,HelpSheet!F31,1,1,"HelpSheet"))</f>
        <v>[EUR/a]</v>
      </c>
      <c r="H22" s="170">
        <v>0</v>
      </c>
      <c r="I22" s="224"/>
      <c r="J22" s="225"/>
      <c r="K22" s="225"/>
    </row>
    <row r="23" spans="1:11" x14ac:dyDescent="0.25">
      <c r="A23" s="15"/>
      <c r="B23" s="64" t="s">
        <v>192</v>
      </c>
      <c r="C23" s="116"/>
      <c r="D23" s="15"/>
      <c r="F23" s="9" t="s">
        <v>167</v>
      </c>
      <c r="G23" s="23" t="str">
        <f ca="1">INDIRECT(ADDRESS(HelpSheet!I8,HelpSheet!F31,1,1,"HelpSheet"))</f>
        <v>[EUR/kWh]</v>
      </c>
      <c r="H23" s="170">
        <v>0</v>
      </c>
      <c r="I23" s="224"/>
      <c r="J23" s="225"/>
      <c r="K23" s="225"/>
    </row>
    <row r="24" spans="1:11" x14ac:dyDescent="0.25">
      <c r="A24" s="15"/>
      <c r="B24" s="3" t="s">
        <v>72</v>
      </c>
      <c r="C24" s="23" t="s">
        <v>67</v>
      </c>
      <c r="D24" s="35">
        <f ca="1">D15</f>
        <v>13</v>
      </c>
      <c r="F24" s="9" t="s">
        <v>290</v>
      </c>
      <c r="G24" s="23" t="str">
        <f ca="1">INDIRECT(ADDRESS(HelpSheet!I14,HelpSheet!F31,1,1,"HelpSheet"))</f>
        <v>[EUR/(kW.a)]</v>
      </c>
      <c r="H24" s="170">
        <v>0</v>
      </c>
      <c r="I24" s="224"/>
      <c r="J24" s="225"/>
      <c r="K24" s="225"/>
    </row>
    <row r="25" spans="1:11" x14ac:dyDescent="0.25">
      <c r="A25" s="15"/>
      <c r="B25" s="56" t="s">
        <v>191</v>
      </c>
      <c r="C25" s="150" t="s">
        <v>65</v>
      </c>
      <c r="D25" s="4">
        <f ca="1">D13</f>
        <v>19720</v>
      </c>
    </row>
    <row r="26" spans="1:11" x14ac:dyDescent="0.25">
      <c r="A26" s="15"/>
      <c r="B26" s="56" t="s">
        <v>70</v>
      </c>
      <c r="C26" s="150" t="s">
        <v>65</v>
      </c>
      <c r="D26" s="57">
        <f>D20*D19</f>
        <v>1000</v>
      </c>
    </row>
    <row r="27" spans="1:11" x14ac:dyDescent="0.25">
      <c r="A27" s="15"/>
      <c r="B27" s="56" t="s">
        <v>71</v>
      </c>
      <c r="C27" s="150" t="s">
        <v>65</v>
      </c>
      <c r="D27" s="57">
        <f ca="1">D25-D26</f>
        <v>18720</v>
      </c>
    </row>
    <row r="28" spans="1:11" x14ac:dyDescent="0.25">
      <c r="A28" s="15"/>
    </row>
    <row r="29" spans="1:11" x14ac:dyDescent="0.25">
      <c r="A29" s="15"/>
    </row>
    <row r="30" spans="1:11" x14ac:dyDescent="0.25">
      <c r="A30" s="15"/>
      <c r="D30" s="15"/>
    </row>
    <row r="31" spans="1:11" x14ac:dyDescent="0.25">
      <c r="A31" s="15"/>
      <c r="D31" s="15"/>
    </row>
    <row r="32" spans="1:11" x14ac:dyDescent="0.25">
      <c r="A32" s="15"/>
      <c r="D32" s="15"/>
    </row>
    <row r="33" spans="1:17" x14ac:dyDescent="0.25">
      <c r="A33" s="15"/>
      <c r="D33" s="15"/>
      <c r="L33" s="15"/>
      <c r="M33" s="15"/>
    </row>
    <row r="34" spans="1:17" x14ac:dyDescent="0.25">
      <c r="A34" s="15"/>
      <c r="D34" s="15"/>
      <c r="L34" s="15"/>
      <c r="M34" s="15"/>
    </row>
    <row r="35" spans="1:17" x14ac:dyDescent="0.25">
      <c r="A35" s="15"/>
      <c r="D35" s="15"/>
      <c r="L35" s="15"/>
      <c r="M35" s="15"/>
    </row>
    <row r="36" spans="1:17" x14ac:dyDescent="0.25">
      <c r="A36" s="15"/>
      <c r="D36" s="15"/>
      <c r="L36" s="15"/>
      <c r="M36" s="15"/>
    </row>
    <row r="37" spans="1:17" x14ac:dyDescent="0.25">
      <c r="A37" s="15"/>
      <c r="D37" s="15"/>
      <c r="L37" s="15"/>
      <c r="M37" s="15"/>
    </row>
    <row r="38" spans="1:17" x14ac:dyDescent="0.25">
      <c r="A38" s="15"/>
      <c r="D38" s="15"/>
      <c r="L38" s="15"/>
    </row>
    <row r="39" spans="1:17" x14ac:dyDescent="0.25">
      <c r="A39" s="15"/>
      <c r="D39" s="15"/>
      <c r="L39" s="15"/>
    </row>
    <row r="40" spans="1:17" x14ac:dyDescent="0.25">
      <c r="A40" s="15"/>
      <c r="D40" s="15"/>
      <c r="L40" s="15"/>
    </row>
    <row r="41" spans="1:17" x14ac:dyDescent="0.25">
      <c r="D41" s="15"/>
      <c r="L41" s="15"/>
    </row>
    <row r="42" spans="1:17" x14ac:dyDescent="0.25">
      <c r="D42" s="15"/>
      <c r="L42" s="15"/>
      <c r="M42" s="15"/>
      <c r="N42" s="15"/>
      <c r="O42" s="15"/>
      <c r="P42" s="15"/>
      <c r="Q42" s="15"/>
    </row>
    <row r="43" spans="1:17" x14ac:dyDescent="0.25">
      <c r="B43" s="15"/>
      <c r="C43" s="15"/>
      <c r="D43" s="15"/>
      <c r="L43" s="15"/>
      <c r="M43" s="15"/>
      <c r="N43" s="15"/>
      <c r="O43" s="15"/>
      <c r="P43" s="15"/>
      <c r="Q43" s="15"/>
    </row>
    <row r="44" spans="1:17" x14ac:dyDescent="0.25">
      <c r="B44" s="15"/>
      <c r="C44" s="15"/>
      <c r="D44" s="15"/>
      <c r="L44" s="15"/>
      <c r="M44" s="15"/>
      <c r="N44" s="15"/>
      <c r="O44" s="15"/>
      <c r="P44" s="15"/>
      <c r="Q44" s="15"/>
    </row>
    <row r="45" spans="1:17" x14ac:dyDescent="0.25">
      <c r="B45" s="15"/>
      <c r="C45" s="15"/>
      <c r="D45" s="15"/>
      <c r="L45" s="15"/>
      <c r="M45" s="15"/>
      <c r="N45" s="15"/>
      <c r="O45" s="15"/>
      <c r="P45" s="15"/>
      <c r="Q45" s="15"/>
    </row>
    <row r="46" spans="1:17" x14ac:dyDescent="0.25">
      <c r="B46" s="15"/>
      <c r="C46" s="15"/>
      <c r="D46" s="15"/>
      <c r="L46" s="15"/>
    </row>
    <row r="47" spans="1:17" x14ac:dyDescent="0.25">
      <c r="B47" s="15"/>
      <c r="C47" s="15"/>
      <c r="D47" s="15"/>
      <c r="H47" s="15"/>
      <c r="I47" s="15"/>
      <c r="L47" s="15"/>
    </row>
    <row r="48" spans="1:17" x14ac:dyDescent="0.25">
      <c r="B48" s="15"/>
      <c r="C48" s="15"/>
      <c r="D48" s="15"/>
      <c r="H48" s="15"/>
      <c r="I48" s="15"/>
      <c r="L48" s="15"/>
    </row>
    <row r="49" spans="2:14" x14ac:dyDescent="0.25">
      <c r="B49" s="15"/>
      <c r="C49" s="15"/>
      <c r="D49" s="15"/>
      <c r="H49" s="15"/>
      <c r="I49" s="15"/>
      <c r="L49" s="15"/>
      <c r="M49" s="15"/>
      <c r="N49" s="15"/>
    </row>
    <row r="50" spans="2:14" x14ac:dyDescent="0.25">
      <c r="B50" s="15"/>
      <c r="C50" s="15"/>
      <c r="D50" s="15"/>
      <c r="H50" s="15"/>
      <c r="I50" s="15"/>
      <c r="L50" s="15"/>
      <c r="M50" s="15"/>
      <c r="N50" s="15"/>
    </row>
    <row r="51" spans="2:14" x14ac:dyDescent="0.25">
      <c r="B51" s="15"/>
      <c r="C51" s="15"/>
      <c r="D51" s="15"/>
      <c r="H51" s="15"/>
      <c r="I51" s="15"/>
      <c r="L51" s="15"/>
      <c r="M51" s="15"/>
      <c r="N51" s="15"/>
    </row>
    <row r="52" spans="2:14" x14ac:dyDescent="0.25">
      <c r="B52" s="15"/>
      <c r="C52" s="15"/>
      <c r="D52" s="15"/>
      <c r="H52" s="15"/>
      <c r="I52" s="15"/>
      <c r="L52" s="15"/>
      <c r="M52" s="15"/>
      <c r="N52" s="15"/>
    </row>
    <row r="53" spans="2:14" x14ac:dyDescent="0.25">
      <c r="H53" s="15"/>
      <c r="I53" s="15"/>
      <c r="L53" s="15"/>
      <c r="M53" s="15"/>
      <c r="N53" s="15"/>
    </row>
    <row r="54" spans="2:14" x14ac:dyDescent="0.25">
      <c r="H54" s="15"/>
      <c r="I54" s="15"/>
      <c r="L54" s="15"/>
      <c r="M54" s="15"/>
      <c r="N54" s="15"/>
    </row>
    <row r="55" spans="2:14" x14ac:dyDescent="0.25">
      <c r="F55" s="15"/>
      <c r="H55" s="15"/>
      <c r="I55" s="15"/>
      <c r="L55" s="15"/>
      <c r="M55" s="15"/>
      <c r="N55" s="15"/>
    </row>
    <row r="56" spans="2:14" x14ac:dyDescent="0.25">
      <c r="H56" s="15"/>
      <c r="I56" s="15"/>
      <c r="L56" s="15"/>
      <c r="M56" s="15"/>
      <c r="N56" s="15"/>
    </row>
    <row r="57" spans="2:14" x14ac:dyDescent="0.25">
      <c r="I57" s="15"/>
      <c r="L57" s="15"/>
      <c r="M57" s="15"/>
      <c r="N57" s="15"/>
    </row>
    <row r="58" spans="2:14" x14ac:dyDescent="0.25">
      <c r="I58" s="15"/>
      <c r="L58" s="15"/>
      <c r="M58" s="15"/>
      <c r="N58" s="15"/>
    </row>
    <row r="59" spans="2:14" x14ac:dyDescent="0.25">
      <c r="I59" s="15"/>
      <c r="L59" s="15"/>
      <c r="M59" s="15"/>
      <c r="N59" s="15"/>
    </row>
  </sheetData>
  <sheetProtection sheet="1" objects="1" scenarios="1"/>
  <mergeCells count="8">
    <mergeCell ref="I11:K13"/>
    <mergeCell ref="I22:K24"/>
    <mergeCell ref="B4:H5"/>
    <mergeCell ref="G6:G8"/>
    <mergeCell ref="H6:H8"/>
    <mergeCell ref="D6:D8"/>
    <mergeCell ref="C6:C8"/>
    <mergeCell ref="I17:K20"/>
  </mergeCells>
  <dataValidations count="3">
    <dataValidation type="whole" operator="greaterThanOrEqual" allowBlank="1" showInputMessage="1" showErrorMessage="1" error="The lifetime cannot be shorter than the load period time. " sqref="H9" xr:uid="{00000000-0002-0000-0300-000002000000}">
      <formula1>H20</formula1>
    </dataValidation>
    <dataValidation type="decimal" allowBlank="1" showInputMessage="1" showErrorMessage="1" sqref="D20" xr:uid="{00000000-0002-0000-0200-000001000000}">
      <formula1>0</formula1>
      <formula2>1</formula2>
    </dataValidation>
    <dataValidation type="custom" allowBlank="1" showInputMessage="1" showErrorMessage="1" errorTitle="This amount is too low!" error="The amount of invest to be financed have to be equal or higher than the difference between the total investment and the available capital (= max Equity) defined in the sheet &quot;Starting point&quot;. " sqref="H18" xr:uid="{00000000-0002-0000-0300-000001000000}">
      <formula1>H18&gt;=H17*(1-H15)-E26</formula1>
    </dataValidation>
  </dataValidations>
  <pageMargins left="0.7" right="0.7" top="0.78740157499999996" bottom="0.78740157499999996"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HelpSheet!$C$6:$C$12</xm:f>
          </x14:formula1>
          <xm:sqref>D9</xm:sqref>
        </x14:dataValidation>
        <x14:dataValidation type="whole" operator="lessThanOrEqual" allowBlank="1" showInputMessage="1" showErrorMessage="1" xr:uid="{00000000-0002-0000-0300-000003000000}">
          <x14:formula1>
            <xm:f>'Boundary conditions'!$K$3</xm:f>
          </x14:formula1>
          <xm:sqref>H19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E49A0-B31D-44C9-8E5C-47FBAFC6BD8C}">
  <dimension ref="A1:L56"/>
  <sheetViews>
    <sheetView showGridLines="0" workbookViewId="0">
      <selection activeCell="D11" sqref="D11"/>
    </sheetView>
  </sheetViews>
  <sheetFormatPr baseColWidth="10" defaultRowHeight="15" x14ac:dyDescent="0.25"/>
  <cols>
    <col min="1" max="1" width="13" customWidth="1"/>
    <col min="2" max="2" width="34.42578125" bestFit="1" customWidth="1"/>
    <col min="3" max="3" width="16.85546875" style="116" bestFit="1" customWidth="1"/>
    <col min="4" max="4" width="14.28515625" customWidth="1"/>
    <col min="12" max="12" width="6.42578125" customWidth="1"/>
  </cols>
  <sheetData>
    <row r="1" spans="1:12" ht="15" customHeight="1" x14ac:dyDescent="0.25">
      <c r="B1" s="12" t="s">
        <v>239</v>
      </c>
      <c r="C1" s="2"/>
      <c r="E1" s="15"/>
      <c r="F1" s="15"/>
      <c r="G1" s="15"/>
      <c r="H1" s="15"/>
      <c r="I1" s="15"/>
    </row>
    <row r="2" spans="1:12" ht="15" customHeight="1" x14ac:dyDescent="0.25">
      <c r="B2" s="12" t="s">
        <v>132</v>
      </c>
      <c r="C2" s="23"/>
      <c r="E2" s="15"/>
      <c r="F2" s="15"/>
      <c r="G2" s="15"/>
      <c r="H2" s="15"/>
      <c r="I2" s="15"/>
    </row>
    <row r="3" spans="1:12" x14ac:dyDescent="0.25">
      <c r="E3" s="15"/>
      <c r="F3" s="15"/>
      <c r="G3" s="15"/>
      <c r="H3" s="15"/>
      <c r="I3" s="15"/>
    </row>
    <row r="4" spans="1:12" x14ac:dyDescent="0.25">
      <c r="A4" s="15"/>
      <c r="B4" s="187" t="s">
        <v>189</v>
      </c>
      <c r="C4" s="188"/>
      <c r="D4" s="189"/>
      <c r="E4" s="15"/>
      <c r="F4" s="15"/>
      <c r="G4" s="15"/>
      <c r="H4" s="15"/>
      <c r="I4" s="15"/>
    </row>
    <row r="5" spans="1:12" x14ac:dyDescent="0.25">
      <c r="A5" s="15"/>
      <c r="B5" s="190"/>
      <c r="C5" s="191"/>
      <c r="D5" s="192"/>
      <c r="E5" s="226" t="s">
        <v>211</v>
      </c>
      <c r="F5" s="220"/>
      <c r="G5" s="220"/>
      <c r="H5" s="220"/>
      <c r="I5" s="220"/>
      <c r="J5" s="220"/>
      <c r="K5" s="220"/>
      <c r="L5" s="220"/>
    </row>
    <row r="6" spans="1:12" ht="15" customHeight="1" x14ac:dyDescent="0.25">
      <c r="B6" s="68" t="s">
        <v>179</v>
      </c>
      <c r="C6" s="196" t="s">
        <v>54</v>
      </c>
      <c r="D6" s="197" t="s">
        <v>107</v>
      </c>
      <c r="E6" s="171"/>
      <c r="F6" s="227"/>
      <c r="G6" s="227"/>
      <c r="H6" s="227"/>
      <c r="I6" s="227"/>
      <c r="J6" s="227"/>
      <c r="K6" s="227"/>
      <c r="L6" s="227"/>
    </row>
    <row r="7" spans="1:12" x14ac:dyDescent="0.25">
      <c r="B7" s="63" t="s">
        <v>3</v>
      </c>
      <c r="C7" s="196"/>
      <c r="D7" s="198"/>
      <c r="E7" s="227"/>
      <c r="F7" s="227"/>
      <c r="G7" s="227"/>
      <c r="H7" s="227"/>
      <c r="I7" s="227"/>
      <c r="J7" s="227"/>
      <c r="K7" s="227"/>
      <c r="L7" s="227"/>
    </row>
    <row r="8" spans="1:12" x14ac:dyDescent="0.25">
      <c r="B8" s="3" t="s">
        <v>203</v>
      </c>
      <c r="C8" s="27" t="s">
        <v>65</v>
      </c>
      <c r="D8" s="54">
        <f ca="1">'Heating system'!D25</f>
        <v>19720</v>
      </c>
      <c r="E8" s="222" t="s">
        <v>279</v>
      </c>
      <c r="F8" s="223"/>
      <c r="G8" s="223"/>
      <c r="H8" s="223"/>
      <c r="I8" s="223"/>
      <c r="J8" s="223"/>
      <c r="K8" s="223"/>
      <c r="L8" s="223"/>
    </row>
    <row r="9" spans="1:12" x14ac:dyDescent="0.25">
      <c r="B9" s="3" t="s">
        <v>181</v>
      </c>
      <c r="C9" s="27" t="s">
        <v>67</v>
      </c>
      <c r="D9" s="23">
        <f ca="1">'Heating system'!$D15</f>
        <v>13</v>
      </c>
      <c r="E9" s="222"/>
      <c r="F9" s="223"/>
      <c r="G9" s="223"/>
      <c r="H9" s="223"/>
      <c r="I9" s="223"/>
      <c r="J9" s="223"/>
      <c r="K9" s="223"/>
      <c r="L9" s="223"/>
    </row>
    <row r="10" spans="1:12" x14ac:dyDescent="0.25">
      <c r="B10" s="63" t="s">
        <v>142</v>
      </c>
      <c r="D10" s="15"/>
      <c r="E10" s="227"/>
      <c r="F10" s="227"/>
      <c r="G10" s="227"/>
      <c r="H10" s="227"/>
      <c r="I10" s="227"/>
      <c r="J10" s="227"/>
      <c r="K10" s="227"/>
      <c r="L10" s="227"/>
    </row>
    <row r="11" spans="1:12" ht="15" customHeight="1" x14ac:dyDescent="0.25">
      <c r="B11" s="3" t="s">
        <v>240</v>
      </c>
      <c r="C11" s="23" t="s">
        <v>66</v>
      </c>
      <c r="D11" s="154">
        <v>1</v>
      </c>
      <c r="E11" s="223" t="s">
        <v>294</v>
      </c>
      <c r="F11" s="223"/>
      <c r="G11" s="223"/>
      <c r="H11" s="223"/>
      <c r="I11" s="223"/>
      <c r="J11" s="223"/>
      <c r="K11" s="223"/>
      <c r="L11" s="223"/>
    </row>
    <row r="12" spans="1:12" x14ac:dyDescent="0.25">
      <c r="B12" s="3" t="s">
        <v>5</v>
      </c>
      <c r="C12" s="23" t="s">
        <v>66</v>
      </c>
      <c r="D12" s="154">
        <v>0</v>
      </c>
      <c r="E12" s="223"/>
      <c r="F12" s="223"/>
      <c r="G12" s="223"/>
      <c r="H12" s="223"/>
      <c r="I12" s="223"/>
      <c r="J12" s="223"/>
      <c r="K12" s="223"/>
      <c r="L12" s="223"/>
    </row>
    <row r="13" spans="1:12" x14ac:dyDescent="0.25">
      <c r="B13" s="3" t="s">
        <v>241</v>
      </c>
      <c r="C13" s="23" t="s">
        <v>66</v>
      </c>
      <c r="D13" s="154">
        <v>0</v>
      </c>
      <c r="E13" s="223"/>
      <c r="F13" s="223"/>
      <c r="G13" s="223"/>
      <c r="H13" s="223"/>
      <c r="I13" s="223"/>
      <c r="J13" s="223"/>
      <c r="K13" s="223"/>
      <c r="L13" s="223"/>
    </row>
    <row r="14" spans="1:12" x14ac:dyDescent="0.25">
      <c r="B14" s="73" t="s">
        <v>0</v>
      </c>
      <c r="D14" s="6"/>
      <c r="E14" s="223"/>
      <c r="F14" s="223"/>
      <c r="G14" s="223"/>
      <c r="H14" s="223"/>
      <c r="I14" s="223"/>
      <c r="J14" s="223"/>
      <c r="K14" s="223"/>
      <c r="L14" s="223"/>
    </row>
    <row r="15" spans="1:12" x14ac:dyDescent="0.25">
      <c r="B15" s="91" t="s">
        <v>2</v>
      </c>
      <c r="C15" s="23" t="s">
        <v>66</v>
      </c>
      <c r="D15" s="154">
        <v>0</v>
      </c>
      <c r="E15" s="223"/>
      <c r="F15" s="223"/>
      <c r="G15" s="223"/>
      <c r="H15" s="223"/>
      <c r="I15" s="223"/>
      <c r="J15" s="223"/>
      <c r="K15" s="223"/>
      <c r="L15" s="223"/>
    </row>
    <row r="16" spans="1:12" x14ac:dyDescent="0.25">
      <c r="B16" s="91" t="s">
        <v>1</v>
      </c>
      <c r="C16" s="23" t="s">
        <v>66</v>
      </c>
      <c r="D16" s="154">
        <v>0</v>
      </c>
      <c r="E16" s="223"/>
      <c r="F16" s="223"/>
      <c r="G16" s="223"/>
      <c r="H16" s="223"/>
      <c r="I16" s="223"/>
      <c r="J16" s="223"/>
      <c r="K16" s="223"/>
      <c r="L16" s="223"/>
    </row>
    <row r="17" spans="2:12" x14ac:dyDescent="0.25">
      <c r="B17" s="91" t="s">
        <v>25</v>
      </c>
      <c r="C17" s="23" t="s">
        <v>66</v>
      </c>
      <c r="D17" s="154">
        <v>0</v>
      </c>
      <c r="E17" s="223"/>
      <c r="F17" s="223"/>
      <c r="G17" s="223"/>
      <c r="H17" s="223"/>
      <c r="I17" s="223"/>
      <c r="J17" s="223"/>
      <c r="K17" s="223"/>
      <c r="L17" s="223"/>
    </row>
    <row r="18" spans="2:12" x14ac:dyDescent="0.25">
      <c r="B18" s="15"/>
      <c r="D18" s="15"/>
      <c r="E18" s="228"/>
      <c r="F18" s="228"/>
      <c r="G18" s="228"/>
      <c r="H18" s="228"/>
      <c r="I18" s="228"/>
      <c r="J18" s="228"/>
      <c r="K18" s="228"/>
      <c r="L18" s="228"/>
    </row>
    <row r="19" spans="2:12" x14ac:dyDescent="0.25">
      <c r="B19" s="68" t="s">
        <v>179</v>
      </c>
      <c r="C19" s="193" t="s">
        <v>54</v>
      </c>
      <c r="D19" s="193" t="s">
        <v>107</v>
      </c>
      <c r="E19" s="171"/>
      <c r="F19" s="229"/>
      <c r="G19" s="229"/>
      <c r="H19" s="229"/>
      <c r="I19" s="229"/>
      <c r="J19" s="229"/>
      <c r="K19" s="229"/>
      <c r="L19" s="229"/>
    </row>
    <row r="20" spans="2:12" x14ac:dyDescent="0.25">
      <c r="B20" s="63" t="s">
        <v>133</v>
      </c>
      <c r="C20" s="195"/>
      <c r="D20" s="195"/>
      <c r="E20" s="230"/>
      <c r="F20" s="229"/>
      <c r="G20" s="229"/>
      <c r="H20" s="229"/>
      <c r="I20" s="229"/>
      <c r="J20" s="229"/>
      <c r="K20" s="229"/>
      <c r="L20" s="229"/>
    </row>
    <row r="21" spans="2:12" x14ac:dyDescent="0.25">
      <c r="B21" s="3" t="s">
        <v>160</v>
      </c>
      <c r="C21" s="23" t="str">
        <f ca="1">INDIRECT(ADDRESS(HelpSheet!I6,HelpSheet!F31,1,1,"HelpSheet"))</f>
        <v>[EUR/a]</v>
      </c>
      <c r="D21" s="159">
        <v>150</v>
      </c>
      <c r="E21" s="231" t="s">
        <v>293</v>
      </c>
      <c r="F21" s="232"/>
      <c r="G21" s="232"/>
      <c r="H21" s="232"/>
      <c r="I21" s="232"/>
      <c r="J21" s="232"/>
      <c r="K21" s="232"/>
      <c r="L21" s="232"/>
    </row>
    <row r="22" spans="2:12" x14ac:dyDescent="0.25">
      <c r="B22" s="3" t="s">
        <v>161</v>
      </c>
      <c r="C22" s="23" t="str">
        <f ca="1">INDIRECT(ADDRESS(HelpSheet!I7,HelpSheet!F31,1,1,"HelpSheet"))</f>
        <v>[EUR/(kW.a)]</v>
      </c>
      <c r="D22" s="159">
        <v>35</v>
      </c>
      <c r="E22" s="231"/>
      <c r="F22" s="232"/>
      <c r="G22" s="232"/>
      <c r="H22" s="232"/>
      <c r="I22" s="232"/>
      <c r="J22" s="232"/>
      <c r="K22" s="232"/>
      <c r="L22" s="232"/>
    </row>
    <row r="23" spans="2:12" x14ac:dyDescent="0.25">
      <c r="B23" s="3" t="s">
        <v>162</v>
      </c>
      <c r="C23" s="23" t="str">
        <f ca="1">INDIRECT(ADDRESS(HelpSheet!I8,HelpSheet!F31,1,1,"HelpSheet"))</f>
        <v>[EUR/kWh]</v>
      </c>
      <c r="D23" s="160">
        <v>6.5000000000000002E-2</v>
      </c>
      <c r="E23" s="231"/>
      <c r="F23" s="232"/>
      <c r="G23" s="232"/>
      <c r="H23" s="232"/>
      <c r="I23" s="232"/>
      <c r="J23" s="232"/>
      <c r="K23" s="232"/>
      <c r="L23" s="232"/>
    </row>
    <row r="24" spans="2:12" ht="15" customHeight="1" x14ac:dyDescent="0.25">
      <c r="B24" s="64" t="s">
        <v>6</v>
      </c>
      <c r="D24" s="15"/>
      <c r="E24" s="171"/>
      <c r="F24" s="233"/>
      <c r="G24" s="233"/>
      <c r="H24" s="233"/>
      <c r="I24" s="233"/>
      <c r="J24" s="233"/>
      <c r="K24" s="233"/>
      <c r="L24" s="233"/>
    </row>
    <row r="25" spans="2:12" ht="15" customHeight="1" x14ac:dyDescent="0.25">
      <c r="B25" s="9" t="s">
        <v>166</v>
      </c>
      <c r="C25" s="23" t="str">
        <f ca="1">INDIRECT(ADDRESS(HelpSheet!I13,HelpSheet!F31,1,1,"HelpSheet"))</f>
        <v>[EUR/a]</v>
      </c>
      <c r="D25" s="159">
        <v>0</v>
      </c>
      <c r="E25" s="234" t="s">
        <v>292</v>
      </c>
      <c r="F25" s="234"/>
      <c r="G25" s="234"/>
      <c r="H25" s="234"/>
      <c r="I25" s="234"/>
      <c r="J25" s="234"/>
      <c r="K25" s="234"/>
      <c r="L25" s="234"/>
    </row>
    <row r="26" spans="2:12" x14ac:dyDescent="0.25">
      <c r="B26" s="9" t="s">
        <v>290</v>
      </c>
      <c r="C26" s="23" t="str">
        <f ca="1">INDIRECT(ADDRESS(HelpSheet!I14,HelpSheet!F31,1,1,"HelpSheet"))</f>
        <v>[EUR/(kW.a)]</v>
      </c>
      <c r="D26" s="159">
        <v>0</v>
      </c>
      <c r="E26" s="234"/>
      <c r="F26" s="234"/>
      <c r="G26" s="234"/>
      <c r="H26" s="234"/>
      <c r="I26" s="234"/>
      <c r="J26" s="234"/>
      <c r="K26" s="234"/>
      <c r="L26" s="234"/>
    </row>
    <row r="27" spans="2:12" x14ac:dyDescent="0.25">
      <c r="E27" s="234"/>
      <c r="F27" s="234"/>
      <c r="G27" s="234"/>
      <c r="H27" s="234"/>
      <c r="I27" s="234"/>
      <c r="J27" s="234"/>
      <c r="K27" s="234"/>
      <c r="L27" s="234"/>
    </row>
    <row r="28" spans="2:12" x14ac:dyDescent="0.25">
      <c r="B28" s="15"/>
      <c r="D28" s="15"/>
      <c r="E28" s="171"/>
      <c r="F28" s="171"/>
      <c r="G28" s="171"/>
      <c r="H28" s="171"/>
      <c r="I28" s="171"/>
      <c r="J28" s="171"/>
      <c r="K28" s="171"/>
      <c r="L28" s="171"/>
    </row>
    <row r="29" spans="2:12" x14ac:dyDescent="0.25">
      <c r="B29" s="68" t="s">
        <v>179</v>
      </c>
      <c r="C29" s="193" t="s">
        <v>54</v>
      </c>
      <c r="D29" s="193" t="s">
        <v>107</v>
      </c>
      <c r="E29" s="171"/>
      <c r="F29" s="171"/>
      <c r="G29" s="171"/>
      <c r="H29" s="171"/>
      <c r="I29" s="171"/>
      <c r="J29" s="171"/>
      <c r="K29" s="171"/>
      <c r="L29" s="171"/>
    </row>
    <row r="30" spans="2:12" x14ac:dyDescent="0.25">
      <c r="B30" s="63" t="s">
        <v>247</v>
      </c>
      <c r="C30" s="195"/>
      <c r="D30" s="195"/>
      <c r="E30" s="171"/>
      <c r="F30" s="171"/>
      <c r="G30" s="171"/>
      <c r="H30" s="171"/>
      <c r="I30" s="171"/>
      <c r="J30" s="171"/>
      <c r="K30" s="171"/>
      <c r="L30" s="171"/>
    </row>
    <row r="31" spans="2:12" ht="15" customHeight="1" x14ac:dyDescent="0.25">
      <c r="B31" s="9" t="s">
        <v>244</v>
      </c>
      <c r="C31" s="52" t="s">
        <v>265</v>
      </c>
      <c r="D31" s="160">
        <v>5.8999999999999997E-2</v>
      </c>
      <c r="E31" s="234"/>
      <c r="F31" s="234"/>
      <c r="G31" s="234"/>
      <c r="H31" s="234"/>
      <c r="I31" s="234"/>
      <c r="J31" s="234"/>
      <c r="K31" s="234"/>
      <c r="L31" s="235"/>
    </row>
    <row r="32" spans="2:12" x14ac:dyDescent="0.25">
      <c r="B32" s="3" t="s">
        <v>251</v>
      </c>
      <c r="C32" s="23" t="s">
        <v>155</v>
      </c>
      <c r="D32" s="154">
        <v>0.85</v>
      </c>
      <c r="E32" s="234"/>
      <c r="F32" s="234"/>
      <c r="G32" s="234"/>
      <c r="H32" s="234"/>
      <c r="I32" s="234"/>
      <c r="J32" s="234"/>
      <c r="K32" s="234"/>
      <c r="L32" s="235"/>
    </row>
    <row r="33" spans="1:12" x14ac:dyDescent="0.25">
      <c r="B33" s="3" t="s">
        <v>252</v>
      </c>
      <c r="C33" s="23" t="s">
        <v>155</v>
      </c>
      <c r="D33" s="154">
        <v>0.92</v>
      </c>
      <c r="E33" s="234"/>
      <c r="F33" s="234"/>
      <c r="G33" s="234"/>
      <c r="H33" s="234"/>
      <c r="I33" s="234"/>
      <c r="J33" s="234"/>
      <c r="K33" s="234"/>
      <c r="L33" s="235"/>
    </row>
    <row r="34" spans="1:12" x14ac:dyDescent="0.25">
      <c r="B34" s="3" t="s">
        <v>248</v>
      </c>
      <c r="C34" s="23" t="s">
        <v>155</v>
      </c>
      <c r="D34" s="114">
        <f>D33*D32</f>
        <v>0.78200000000000003</v>
      </c>
      <c r="E34" s="234"/>
      <c r="F34" s="234"/>
      <c r="G34" s="234"/>
      <c r="H34" s="234"/>
      <c r="I34" s="234"/>
      <c r="J34" s="234"/>
      <c r="K34" s="234"/>
      <c r="L34" s="171"/>
    </row>
    <row r="37" spans="1:12" x14ac:dyDescent="0.25">
      <c r="A37" s="7"/>
    </row>
    <row r="38" spans="1:12" x14ac:dyDescent="0.25">
      <c r="A38" s="7"/>
      <c r="B38" s="7"/>
    </row>
    <row r="39" spans="1:12" x14ac:dyDescent="0.25">
      <c r="A39" s="7"/>
      <c r="B39" s="7"/>
    </row>
    <row r="40" spans="1:12" x14ac:dyDescent="0.25">
      <c r="A40" s="7"/>
      <c r="B40" s="7"/>
    </row>
    <row r="41" spans="1:12" x14ac:dyDescent="0.25">
      <c r="A41" s="7"/>
      <c r="B41" s="7"/>
    </row>
    <row r="47" spans="1:12" x14ac:dyDescent="0.25">
      <c r="A47" s="15"/>
      <c r="B47" s="15"/>
    </row>
    <row r="48" spans="1:12" x14ac:dyDescent="0.25">
      <c r="A48" s="15"/>
      <c r="B48" s="15"/>
    </row>
    <row r="49" spans="1:2" x14ac:dyDescent="0.25">
      <c r="A49" s="15"/>
      <c r="B49" s="15"/>
    </row>
    <row r="50" spans="1:2" x14ac:dyDescent="0.25">
      <c r="A50" s="15"/>
      <c r="B50" s="15"/>
    </row>
    <row r="51" spans="1:2" x14ac:dyDescent="0.25">
      <c r="A51" s="15"/>
      <c r="B51" s="15"/>
    </row>
    <row r="52" spans="1:2" x14ac:dyDescent="0.25">
      <c r="A52" s="15"/>
      <c r="B52" s="15"/>
    </row>
    <row r="53" spans="1:2" x14ac:dyDescent="0.25">
      <c r="A53" s="15"/>
      <c r="B53" s="15"/>
    </row>
    <row r="54" spans="1:2" x14ac:dyDescent="0.25">
      <c r="A54" s="15"/>
      <c r="B54" s="15"/>
    </row>
    <row r="55" spans="1:2" x14ac:dyDescent="0.25">
      <c r="A55" s="15"/>
      <c r="B55" s="15"/>
    </row>
    <row r="56" spans="1:2" x14ac:dyDescent="0.25">
      <c r="A56" s="15"/>
      <c r="B56" s="15"/>
    </row>
  </sheetData>
  <sheetProtection sheet="1" objects="1" scenarios="1"/>
  <mergeCells count="12">
    <mergeCell ref="C29:C30"/>
    <mergeCell ref="D29:D30"/>
    <mergeCell ref="E25:L27"/>
    <mergeCell ref="E31:K34"/>
    <mergeCell ref="E11:L17"/>
    <mergeCell ref="E8:L9"/>
    <mergeCell ref="E21:L23"/>
    <mergeCell ref="B4:D5"/>
    <mergeCell ref="C6:C7"/>
    <mergeCell ref="D6:D7"/>
    <mergeCell ref="C19:C20"/>
    <mergeCell ref="D19:D20"/>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D47D-3C75-4334-9772-807EB29E476E}">
  <dimension ref="A1:U66"/>
  <sheetViews>
    <sheetView showGridLines="0" workbookViewId="0">
      <selection activeCell="C9" sqref="C9"/>
    </sheetView>
  </sheetViews>
  <sheetFormatPr baseColWidth="10" defaultRowHeight="15" x14ac:dyDescent="0.25"/>
  <cols>
    <col min="1" max="1" width="45.5703125" customWidth="1"/>
    <col min="2" max="2" width="16.85546875" style="107" bestFit="1" customWidth="1"/>
    <col min="3" max="12" width="12.85546875" customWidth="1"/>
    <col min="13" max="13" width="5.42578125" bestFit="1" customWidth="1"/>
    <col min="16" max="16" width="10" customWidth="1"/>
    <col min="17" max="17" width="7.42578125" customWidth="1"/>
    <col min="18" max="18" width="8.28515625" customWidth="1"/>
    <col min="19" max="19" width="8" customWidth="1"/>
    <col min="20" max="20" width="27.28515625" customWidth="1"/>
  </cols>
  <sheetData>
    <row r="1" spans="1:21" x14ac:dyDescent="0.25">
      <c r="A1" s="12" t="s">
        <v>239</v>
      </c>
      <c r="B1" s="2"/>
    </row>
    <row r="2" spans="1:21" x14ac:dyDescent="0.25">
      <c r="A2" s="12" t="s">
        <v>132</v>
      </c>
      <c r="B2" s="23"/>
    </row>
    <row r="3" spans="1:21" x14ac:dyDescent="0.25">
      <c r="A3" s="202" t="s">
        <v>179</v>
      </c>
      <c r="B3" s="193" t="s">
        <v>54</v>
      </c>
      <c r="C3" s="199" t="s">
        <v>187</v>
      </c>
      <c r="D3" s="199"/>
      <c r="E3" s="199"/>
      <c r="F3" s="199"/>
      <c r="G3" s="199"/>
      <c r="H3" s="199"/>
      <c r="I3" s="199"/>
      <c r="J3" s="199"/>
      <c r="K3" s="199"/>
      <c r="L3" s="199"/>
    </row>
    <row r="4" spans="1:21" x14ac:dyDescent="0.25">
      <c r="A4" s="203"/>
      <c r="B4" s="194"/>
      <c r="C4" s="199"/>
      <c r="D4" s="199"/>
      <c r="E4" s="199"/>
      <c r="F4" s="199"/>
      <c r="G4" s="199"/>
      <c r="H4" s="199"/>
      <c r="I4" s="199"/>
      <c r="J4" s="199"/>
      <c r="K4" s="199"/>
      <c r="L4" s="199"/>
      <c r="M4" s="236" t="s">
        <v>211</v>
      </c>
      <c r="N4" s="220"/>
      <c r="O4" s="220"/>
      <c r="P4" s="220"/>
      <c r="Q4" s="220"/>
      <c r="R4" s="220"/>
      <c r="S4" s="220"/>
      <c r="T4" s="220"/>
    </row>
    <row r="5" spans="1:21" x14ac:dyDescent="0.25">
      <c r="A5" s="200" t="s">
        <v>3</v>
      </c>
      <c r="B5" s="194"/>
      <c r="C5" s="204" t="s">
        <v>254</v>
      </c>
      <c r="D5" s="204" t="s">
        <v>140</v>
      </c>
      <c r="E5" s="204" t="s">
        <v>141</v>
      </c>
      <c r="F5" s="204" t="s">
        <v>13</v>
      </c>
      <c r="G5" s="204" t="s">
        <v>7</v>
      </c>
      <c r="H5" s="204" t="s">
        <v>23</v>
      </c>
      <c r="I5" s="204" t="s">
        <v>278</v>
      </c>
      <c r="J5" s="204" t="s">
        <v>283</v>
      </c>
      <c r="K5" s="204" t="s">
        <v>144</v>
      </c>
      <c r="L5" s="204" t="s">
        <v>242</v>
      </c>
      <c r="M5" s="237" t="s">
        <v>307</v>
      </c>
      <c r="N5" s="237"/>
      <c r="O5" s="237"/>
      <c r="P5" s="237"/>
      <c r="Q5" s="237"/>
      <c r="R5" s="237"/>
      <c r="S5" s="237"/>
      <c r="T5" s="237"/>
      <c r="U5" s="1"/>
    </row>
    <row r="6" spans="1:21" x14ac:dyDescent="0.25">
      <c r="A6" s="201"/>
      <c r="B6" s="195"/>
      <c r="C6" s="205"/>
      <c r="D6" s="205"/>
      <c r="E6" s="205"/>
      <c r="F6" s="205"/>
      <c r="G6" s="205"/>
      <c r="H6" s="205"/>
      <c r="I6" s="205"/>
      <c r="J6" s="205"/>
      <c r="K6" s="205"/>
      <c r="L6" s="205"/>
      <c r="M6" s="234"/>
      <c r="N6" s="234"/>
      <c r="O6" s="234"/>
      <c r="P6" s="234"/>
      <c r="Q6" s="234"/>
      <c r="R6" s="234"/>
      <c r="S6" s="234"/>
      <c r="T6" s="234"/>
      <c r="U6" s="1"/>
    </row>
    <row r="7" spans="1:21" x14ac:dyDescent="0.25">
      <c r="A7" s="3" t="s">
        <v>180</v>
      </c>
      <c r="B7" s="27" t="s">
        <v>65</v>
      </c>
      <c r="C7" s="142">
        <f ca="1">'Heating system'!$D$25</f>
        <v>19720</v>
      </c>
      <c r="D7" s="142">
        <f ca="1">'Heating system'!$D$25</f>
        <v>19720</v>
      </c>
      <c r="E7" s="142">
        <f ca="1">'Heating system'!$D$25</f>
        <v>19720</v>
      </c>
      <c r="F7" s="142">
        <f ca="1">'Heating system'!$D$25</f>
        <v>19720</v>
      </c>
      <c r="G7" s="142">
        <f ca="1">'Heating system'!$D$25</f>
        <v>19720</v>
      </c>
      <c r="H7" s="142">
        <f ca="1">'Heating system'!$D$25</f>
        <v>19720</v>
      </c>
      <c r="I7" s="142">
        <f ca="1">'Heating system'!$D$25</f>
        <v>19720</v>
      </c>
      <c r="J7" s="142">
        <f ca="1">'Heating system'!$D$25</f>
        <v>19720</v>
      </c>
      <c r="K7" s="142">
        <f ca="1">'Heating system'!$D$25</f>
        <v>19720</v>
      </c>
      <c r="L7" s="142">
        <f ca="1">'Heating system'!$D$25</f>
        <v>19720</v>
      </c>
      <c r="M7" s="234"/>
      <c r="N7" s="234"/>
      <c r="O7" s="234"/>
      <c r="P7" s="234"/>
      <c r="Q7" s="234"/>
      <c r="R7" s="234"/>
      <c r="S7" s="234"/>
      <c r="T7" s="234"/>
      <c r="U7" s="1"/>
    </row>
    <row r="8" spans="1:21" x14ac:dyDescent="0.25">
      <c r="A8" s="3" t="s">
        <v>181</v>
      </c>
      <c r="B8" s="27" t="s">
        <v>67</v>
      </c>
      <c r="C8" s="143">
        <f ca="1">'Heating system'!$D15</f>
        <v>13</v>
      </c>
      <c r="D8" s="143">
        <f ca="1">'Heating system'!$D15</f>
        <v>13</v>
      </c>
      <c r="E8" s="143">
        <f ca="1">'Heating system'!$D15</f>
        <v>13</v>
      </c>
      <c r="F8" s="143">
        <f ca="1">'Heating system'!$D15</f>
        <v>13</v>
      </c>
      <c r="G8" s="143">
        <f ca="1">'Heating system'!$D15</f>
        <v>13</v>
      </c>
      <c r="H8" s="143">
        <f ca="1">'Heating system'!$D15</f>
        <v>13</v>
      </c>
      <c r="I8" s="143">
        <f ca="1">'Heating system'!$D15</f>
        <v>13</v>
      </c>
      <c r="J8" s="143">
        <f ca="1">'Heating system'!$D15</f>
        <v>13</v>
      </c>
      <c r="K8" s="143">
        <f ca="1">'Heating system'!$D15</f>
        <v>13</v>
      </c>
      <c r="L8" s="143">
        <f ca="1">'Heating system'!$D15</f>
        <v>13</v>
      </c>
      <c r="M8" s="234"/>
      <c r="N8" s="234"/>
      <c r="O8" s="234"/>
      <c r="P8" s="234"/>
      <c r="Q8" s="234"/>
      <c r="R8" s="234"/>
      <c r="S8" s="234"/>
      <c r="T8" s="234"/>
      <c r="U8" s="1"/>
    </row>
    <row r="9" spans="1:21" x14ac:dyDescent="0.25">
      <c r="A9" s="22" t="s">
        <v>158</v>
      </c>
      <c r="B9" s="140" t="s">
        <v>156</v>
      </c>
      <c r="C9" s="155">
        <v>20</v>
      </c>
      <c r="D9" s="155">
        <v>20</v>
      </c>
      <c r="E9" s="155">
        <v>20</v>
      </c>
      <c r="F9" s="155">
        <v>20</v>
      </c>
      <c r="G9" s="155">
        <v>20</v>
      </c>
      <c r="H9" s="155">
        <v>20</v>
      </c>
      <c r="I9" s="155">
        <v>20</v>
      </c>
      <c r="J9" s="155">
        <v>20</v>
      </c>
      <c r="K9" s="155">
        <v>20</v>
      </c>
      <c r="L9" s="155">
        <v>20</v>
      </c>
      <c r="M9" s="234"/>
      <c r="N9" s="234"/>
      <c r="O9" s="234"/>
      <c r="P9" s="234"/>
      <c r="Q9" s="234"/>
      <c r="R9" s="234"/>
      <c r="S9" s="234"/>
      <c r="T9" s="234"/>
      <c r="U9" s="1"/>
    </row>
    <row r="10" spans="1:21" x14ac:dyDescent="0.25">
      <c r="A10" s="66" t="s">
        <v>142</v>
      </c>
      <c r="C10" s="15"/>
      <c r="D10" s="15"/>
      <c r="E10" s="15"/>
      <c r="F10" s="15"/>
      <c r="G10" s="15"/>
      <c r="H10" s="15"/>
      <c r="I10" s="15"/>
      <c r="J10" s="15"/>
      <c r="K10" s="15"/>
      <c r="M10" s="234"/>
      <c r="N10" s="234"/>
      <c r="O10" s="234"/>
      <c r="P10" s="234"/>
      <c r="Q10" s="234"/>
      <c r="R10" s="234"/>
      <c r="S10" s="234"/>
      <c r="T10" s="234"/>
      <c r="U10" s="1"/>
    </row>
    <row r="11" spans="1:21" x14ac:dyDescent="0.25">
      <c r="A11" s="3" t="s">
        <v>182</v>
      </c>
      <c r="B11" s="140" t="s">
        <v>66</v>
      </c>
      <c r="C11" s="10"/>
      <c r="D11" s="10"/>
      <c r="E11" s="10"/>
      <c r="F11" s="10">
        <v>1</v>
      </c>
      <c r="G11" s="10"/>
      <c r="H11" s="10"/>
      <c r="I11" s="10">
        <v>1</v>
      </c>
      <c r="J11" s="10">
        <v>1</v>
      </c>
      <c r="K11" s="10"/>
      <c r="L11" s="13">
        <f>SUM(L13:L16)</f>
        <v>0</v>
      </c>
      <c r="M11" s="234"/>
      <c r="N11" s="234"/>
      <c r="O11" s="234"/>
      <c r="P11" s="234"/>
      <c r="Q11" s="234"/>
      <c r="R11" s="234"/>
      <c r="S11" s="234"/>
      <c r="T11" s="234"/>
      <c r="U11" s="1"/>
    </row>
    <row r="12" spans="1:21" x14ac:dyDescent="0.25">
      <c r="A12" s="73" t="s">
        <v>0</v>
      </c>
      <c r="C12" s="15"/>
      <c r="D12" s="15"/>
      <c r="E12" s="15"/>
      <c r="F12" s="15"/>
      <c r="G12" s="15"/>
      <c r="H12" s="15"/>
      <c r="I12" s="15"/>
      <c r="J12" s="15"/>
      <c r="K12" s="15"/>
      <c r="M12" s="234"/>
      <c r="N12" s="234"/>
      <c r="O12" s="234"/>
      <c r="P12" s="234"/>
      <c r="Q12" s="234"/>
      <c r="R12" s="234"/>
      <c r="S12" s="234"/>
      <c r="T12" s="234"/>
      <c r="U12" s="1"/>
    </row>
    <row r="13" spans="1:21" x14ac:dyDescent="0.25">
      <c r="A13" s="74" t="s">
        <v>183</v>
      </c>
      <c r="B13" s="140" t="s">
        <v>66</v>
      </c>
      <c r="C13" s="10"/>
      <c r="D13" s="10"/>
      <c r="E13" s="10"/>
      <c r="F13" s="10">
        <v>1</v>
      </c>
      <c r="G13" s="10"/>
      <c r="H13" s="10"/>
      <c r="I13" s="10"/>
      <c r="J13" s="10"/>
      <c r="K13" s="10"/>
      <c r="L13" s="154">
        <v>0</v>
      </c>
      <c r="M13" s="234"/>
      <c r="N13" s="234"/>
      <c r="O13" s="234"/>
      <c r="P13" s="234"/>
      <c r="Q13" s="234"/>
      <c r="R13" s="234"/>
      <c r="S13" s="234"/>
      <c r="T13" s="234"/>
      <c r="U13" s="1"/>
    </row>
    <row r="14" spans="1:21" x14ac:dyDescent="0.25">
      <c r="A14" s="74" t="s">
        <v>184</v>
      </c>
      <c r="B14" s="140" t="s">
        <v>66</v>
      </c>
      <c r="C14" s="10"/>
      <c r="D14" s="10"/>
      <c r="E14" s="10"/>
      <c r="F14" s="10"/>
      <c r="G14" s="10"/>
      <c r="H14" s="10"/>
      <c r="I14" s="10">
        <v>1</v>
      </c>
      <c r="J14" s="10"/>
      <c r="K14" s="10"/>
      <c r="L14" s="154">
        <v>0</v>
      </c>
      <c r="M14" s="234"/>
      <c r="N14" s="234"/>
      <c r="O14" s="234"/>
      <c r="P14" s="234"/>
      <c r="Q14" s="234"/>
      <c r="R14" s="234"/>
      <c r="S14" s="234"/>
      <c r="T14" s="234"/>
      <c r="U14" s="1"/>
    </row>
    <row r="15" spans="1:21" x14ac:dyDescent="0.25">
      <c r="A15" s="74" t="s">
        <v>185</v>
      </c>
      <c r="B15" s="140" t="s">
        <v>66</v>
      </c>
      <c r="C15" s="10"/>
      <c r="D15" s="10"/>
      <c r="E15" s="10"/>
      <c r="F15" s="10"/>
      <c r="G15" s="10"/>
      <c r="H15" s="10"/>
      <c r="I15" s="10"/>
      <c r="J15" s="10">
        <v>1</v>
      </c>
      <c r="K15" s="10"/>
      <c r="L15" s="154">
        <v>0</v>
      </c>
      <c r="M15" s="234"/>
      <c r="N15" s="234"/>
      <c r="O15" s="234"/>
      <c r="P15" s="234"/>
      <c r="Q15" s="234"/>
      <c r="R15" s="234"/>
      <c r="S15" s="234"/>
      <c r="T15" s="234"/>
      <c r="U15" s="1"/>
    </row>
    <row r="16" spans="1:21" x14ac:dyDescent="0.25">
      <c r="A16" s="3" t="s">
        <v>5</v>
      </c>
      <c r="B16" s="140" t="s">
        <v>66</v>
      </c>
      <c r="C16" s="10"/>
      <c r="D16" s="10"/>
      <c r="E16" s="10"/>
      <c r="F16" s="10"/>
      <c r="G16" s="10">
        <v>1</v>
      </c>
      <c r="H16" s="10">
        <v>1</v>
      </c>
      <c r="I16" s="10"/>
      <c r="J16" s="10"/>
      <c r="K16" s="10">
        <v>1</v>
      </c>
      <c r="L16" s="154">
        <v>0</v>
      </c>
      <c r="M16" s="234"/>
      <c r="N16" s="234"/>
      <c r="O16" s="234"/>
      <c r="P16" s="234"/>
      <c r="Q16" s="234"/>
      <c r="R16" s="234"/>
      <c r="S16" s="234"/>
      <c r="T16" s="234"/>
      <c r="U16" s="1"/>
    </row>
    <row r="17" spans="1:21" x14ac:dyDescent="0.25">
      <c r="A17" s="3" t="s">
        <v>186</v>
      </c>
      <c r="B17" s="140" t="s">
        <v>66</v>
      </c>
      <c r="C17" s="10">
        <v>1</v>
      </c>
      <c r="D17" s="10">
        <v>1</v>
      </c>
      <c r="E17" s="10">
        <v>1</v>
      </c>
      <c r="F17" s="10"/>
      <c r="G17" s="10"/>
      <c r="H17" s="10"/>
      <c r="I17" s="10"/>
      <c r="J17" s="10"/>
      <c r="K17" s="10"/>
      <c r="L17" s="13">
        <f>SUM(L19:L21)</f>
        <v>1</v>
      </c>
      <c r="M17" s="234"/>
      <c r="N17" s="234"/>
      <c r="O17" s="234"/>
      <c r="P17" s="234"/>
      <c r="Q17" s="234"/>
      <c r="R17" s="234"/>
      <c r="S17" s="234"/>
      <c r="T17" s="234"/>
      <c r="U17" s="1"/>
    </row>
    <row r="18" spans="1:21" x14ac:dyDescent="0.25">
      <c r="A18" s="73" t="s">
        <v>0</v>
      </c>
      <c r="C18" s="6"/>
      <c r="D18" s="6"/>
      <c r="E18" s="15"/>
      <c r="F18" s="6"/>
      <c r="G18" s="6"/>
      <c r="H18" s="6"/>
      <c r="I18" s="6"/>
      <c r="J18" s="6"/>
      <c r="K18" s="15"/>
      <c r="M18" s="234"/>
      <c r="N18" s="234"/>
      <c r="O18" s="234"/>
      <c r="P18" s="234"/>
      <c r="Q18" s="234"/>
      <c r="R18" s="234"/>
      <c r="S18" s="234"/>
      <c r="T18" s="234"/>
      <c r="U18" s="1"/>
    </row>
    <row r="19" spans="1:21" x14ac:dyDescent="0.25">
      <c r="A19" s="91" t="s">
        <v>2</v>
      </c>
      <c r="B19" s="140" t="s">
        <v>66</v>
      </c>
      <c r="C19" s="10">
        <v>1</v>
      </c>
      <c r="D19" s="10"/>
      <c r="E19" s="13"/>
      <c r="F19" s="10"/>
      <c r="G19" s="10"/>
      <c r="H19" s="10"/>
      <c r="I19" s="10"/>
      <c r="J19" s="10"/>
      <c r="K19" s="10"/>
      <c r="L19" s="154">
        <v>1</v>
      </c>
      <c r="M19" s="234"/>
      <c r="N19" s="234"/>
      <c r="O19" s="234"/>
      <c r="P19" s="234"/>
      <c r="Q19" s="234"/>
      <c r="R19" s="234"/>
      <c r="S19" s="234"/>
      <c r="T19" s="234"/>
      <c r="U19" s="1"/>
    </row>
    <row r="20" spans="1:21" x14ac:dyDescent="0.25">
      <c r="A20" s="91" t="s">
        <v>1</v>
      </c>
      <c r="B20" s="140" t="s">
        <v>66</v>
      </c>
      <c r="C20" s="10"/>
      <c r="D20" s="10">
        <v>1</v>
      </c>
      <c r="E20" s="13"/>
      <c r="F20" s="10"/>
      <c r="G20" s="10"/>
      <c r="H20" s="10"/>
      <c r="I20" s="10"/>
      <c r="J20" s="10"/>
      <c r="K20" s="10"/>
      <c r="L20" s="154">
        <v>0</v>
      </c>
      <c r="M20" s="234"/>
      <c r="N20" s="234"/>
      <c r="O20" s="234"/>
      <c r="P20" s="234"/>
      <c r="Q20" s="234"/>
      <c r="R20" s="234"/>
      <c r="S20" s="234"/>
      <c r="T20" s="234"/>
      <c r="U20" s="1"/>
    </row>
    <row r="21" spans="1:21" x14ac:dyDescent="0.25">
      <c r="A21" s="91" t="s">
        <v>25</v>
      </c>
      <c r="B21" s="140" t="s">
        <v>66</v>
      </c>
      <c r="C21" s="10"/>
      <c r="D21" s="10"/>
      <c r="E21" s="13">
        <v>1</v>
      </c>
      <c r="F21" s="10"/>
      <c r="G21" s="10"/>
      <c r="H21" s="10"/>
      <c r="I21" s="10"/>
      <c r="J21" s="10"/>
      <c r="K21" s="10"/>
      <c r="L21" s="154">
        <v>0</v>
      </c>
      <c r="M21" s="234"/>
      <c r="N21" s="234"/>
      <c r="O21" s="234"/>
      <c r="P21" s="234"/>
      <c r="Q21" s="234"/>
      <c r="R21" s="234"/>
      <c r="S21" s="234"/>
      <c r="T21" s="234"/>
      <c r="U21" s="1"/>
    </row>
    <row r="22" spans="1:21" x14ac:dyDescent="0.25">
      <c r="A22" s="3" t="s">
        <v>201</v>
      </c>
      <c r="B22" s="140" t="s">
        <v>66</v>
      </c>
      <c r="C22" s="154">
        <v>0.8</v>
      </c>
      <c r="D22" s="154">
        <v>0.8</v>
      </c>
      <c r="E22" s="154">
        <v>0.65</v>
      </c>
      <c r="F22" s="154">
        <v>0.8</v>
      </c>
      <c r="G22" s="154">
        <v>0.9</v>
      </c>
      <c r="H22" s="154">
        <v>0.95</v>
      </c>
      <c r="I22" s="154">
        <v>0.8</v>
      </c>
      <c r="J22" s="154">
        <v>0.8</v>
      </c>
      <c r="K22" s="154">
        <v>3.2</v>
      </c>
      <c r="L22" s="154">
        <v>0.9</v>
      </c>
      <c r="M22" s="234"/>
      <c r="N22" s="234"/>
      <c r="O22" s="234"/>
      <c r="P22" s="234"/>
      <c r="Q22" s="234"/>
      <c r="R22" s="234"/>
      <c r="S22" s="234"/>
      <c r="T22" s="234"/>
      <c r="U22" s="1"/>
    </row>
    <row r="23" spans="1:21" x14ac:dyDescent="0.25">
      <c r="M23" s="171"/>
      <c r="N23" s="171"/>
      <c r="O23" s="171"/>
      <c r="P23" s="171"/>
      <c r="Q23" s="171"/>
      <c r="R23" s="171"/>
      <c r="S23" s="171"/>
      <c r="T23" s="171"/>
      <c r="U23" s="15"/>
    </row>
    <row r="24" spans="1:21" x14ac:dyDescent="0.25">
      <c r="A24" s="65" t="s">
        <v>133</v>
      </c>
      <c r="C24" s="15"/>
      <c r="D24" s="15"/>
      <c r="E24" s="15"/>
      <c r="F24" s="15"/>
      <c r="G24" s="15"/>
      <c r="H24" s="15"/>
      <c r="I24" s="15"/>
      <c r="J24" s="15"/>
      <c r="K24" s="15"/>
      <c r="M24" s="238"/>
      <c r="N24" s="171"/>
      <c r="O24" s="171"/>
      <c r="P24" s="171"/>
      <c r="Q24" s="171"/>
      <c r="R24" s="171"/>
      <c r="S24" s="171"/>
      <c r="T24" s="171"/>
      <c r="U24" s="15"/>
    </row>
    <row r="25" spans="1:21" ht="15" customHeight="1" x14ac:dyDescent="0.25">
      <c r="A25" s="3" t="s">
        <v>160</v>
      </c>
      <c r="B25" s="23" t="str">
        <f ca="1">INDIRECT(ADDRESS(HelpSheet!I6,HelpSheet!F31,1,1,"HelpSheet"))</f>
        <v>[EUR/a]</v>
      </c>
      <c r="C25" s="155">
        <v>90</v>
      </c>
      <c r="D25" s="155">
        <v>0</v>
      </c>
      <c r="E25" s="155">
        <v>0</v>
      </c>
      <c r="F25" s="155">
        <v>0</v>
      </c>
      <c r="G25" s="155">
        <v>87</v>
      </c>
      <c r="H25" s="155">
        <v>87</v>
      </c>
      <c r="I25" s="155">
        <v>0</v>
      </c>
      <c r="J25" s="155">
        <v>0</v>
      </c>
      <c r="K25" s="155">
        <v>87</v>
      </c>
      <c r="L25" s="155">
        <v>90</v>
      </c>
      <c r="M25" s="223" t="s">
        <v>306</v>
      </c>
      <c r="N25" s="223"/>
      <c r="O25" s="223"/>
      <c r="P25" s="223"/>
      <c r="Q25" s="223"/>
      <c r="R25" s="223"/>
      <c r="S25" s="223"/>
      <c r="T25" s="223"/>
      <c r="U25" s="92"/>
    </row>
    <row r="26" spans="1:21" x14ac:dyDescent="0.25">
      <c r="A26" s="3" t="s">
        <v>161</v>
      </c>
      <c r="B26" s="23" t="str">
        <f ca="1">INDIRECT(ADDRESS(HelpSheet!I7,HelpSheet!F31,1,1,"HelpSheet"))</f>
        <v>[EUR/(kW.a)]</v>
      </c>
      <c r="C26" s="155">
        <v>0</v>
      </c>
      <c r="D26" s="155">
        <v>0</v>
      </c>
      <c r="E26" s="155">
        <v>0</v>
      </c>
      <c r="F26" s="155">
        <v>0</v>
      </c>
      <c r="G26" s="155">
        <v>0</v>
      </c>
      <c r="H26" s="155">
        <v>0</v>
      </c>
      <c r="I26" s="155">
        <v>0</v>
      </c>
      <c r="J26" s="155">
        <v>0</v>
      </c>
      <c r="K26" s="155">
        <v>0</v>
      </c>
      <c r="L26" s="155">
        <v>0</v>
      </c>
      <c r="M26" s="223"/>
      <c r="N26" s="223"/>
      <c r="O26" s="223"/>
      <c r="P26" s="223"/>
      <c r="Q26" s="223"/>
      <c r="R26" s="223"/>
      <c r="S26" s="223"/>
      <c r="T26" s="223"/>
      <c r="U26" s="92"/>
    </row>
    <row r="27" spans="1:21" x14ac:dyDescent="0.25">
      <c r="A27" s="3" t="s">
        <v>162</v>
      </c>
      <c r="B27" s="23" t="str">
        <f ca="1">INDIRECT(ADDRESS(HelpSheet!I8,HelpSheet!F31,1,1,"HelpSheet"))</f>
        <v>[EUR/kWh]</v>
      </c>
      <c r="C27" s="141">
        <f>C11*(C13*'Boundary conditions'!$D$10+C14*'Boundary conditions'!$D$16+C15*'Boundary conditions'!$D$22)+C16*'Boundary conditions'!$D$46+C17*(C20*'Boundary conditions'!$D$34+'Reference systems'!C19*'Boundary conditions'!$D$28+C21*'Boundary conditions'!$D$40)</f>
        <v>3.5478460325853313E-2</v>
      </c>
      <c r="D27" s="141">
        <f>D11*(D13*'Boundary conditions'!$D$10+D14*'Boundary conditions'!$D$16+D15*'Boundary conditions'!$D$22)+D16*'Boundary conditions'!$D$46+D17*(D20*'Boundary conditions'!$D$34+'Reference systems'!D19*'Boundary conditions'!$D$28+D21*'Boundary conditions'!$D$40)</f>
        <v>7.8966451846482599E-2</v>
      </c>
      <c r="E27" s="141">
        <f>E11*(E13*'Boundary conditions'!$D$10+E14*'Boundary conditions'!$D$16+E15*'Boundary conditions'!$D$22)+E16*'Boundary conditions'!$D$46+E17*(E20*'Boundary conditions'!$D$34+'Reference systems'!E19*'Boundary conditions'!$D$28+E21*'Boundary conditions'!$D$40)</f>
        <v>8.3522208683779672E-2</v>
      </c>
      <c r="F27" s="141">
        <f>F11*(F13*'Boundary conditions'!$D$10+F14*'Boundary conditions'!$D$16+F15*'Boundary conditions'!$D$22)+F16*'Boundary conditions'!$D$46+F17*(F20*'Boundary conditions'!$D$34+'Reference systems'!F19*'Boundary conditions'!$D$28+F21*'Boundary conditions'!$D$40)</f>
        <v>5.2753863737533713E-2</v>
      </c>
      <c r="G27" s="141">
        <f>G11*(G13*'Boundary conditions'!$D$10+G14*'Boundary conditions'!$D$16+G15*'Boundary conditions'!$D$22)+G16*'Boundary conditions'!$D$46+G17*(G20*'Boundary conditions'!$D$34+'Reference systems'!G19*'Boundary conditions'!$D$28+G21*'Boundary conditions'!$D$40)</f>
        <v>7.3323283302672987E-2</v>
      </c>
      <c r="H27" s="141">
        <f>H11*(H13*'Boundary conditions'!$D$10+H14*'Boundary conditions'!$D$16+H15*'Boundary conditions'!$D$22)+H16*'Boundary conditions'!$D$46+H17*(H20*'Boundary conditions'!$D$34+'Reference systems'!H19*'Boundary conditions'!$D$28+H21*'Boundary conditions'!$D$40)</f>
        <v>7.3323283302672987E-2</v>
      </c>
      <c r="I27" s="141">
        <f>I11*(I13*'Boundary conditions'!$D$10+I14*'Boundary conditions'!$D$16+I15*'Boundary conditions'!$D$22)+I16*'Boundary conditions'!$D$46+I17*(I20*'Boundary conditions'!$D$34+'Reference systems'!I19*'Boundary conditions'!$D$28+I21*'Boundary conditions'!$D$40)</f>
        <v>4.2420124183524088E-2</v>
      </c>
      <c r="J27" s="141">
        <f>J11*(J13*'Boundary conditions'!$D$10+J14*'Boundary conditions'!$D$16+J15*'Boundary conditions'!$D$22)+J16*'Boundary conditions'!$D$46+J17*(J20*'Boundary conditions'!$D$34+'Reference systems'!J19*'Boundary conditions'!$D$28+J21*'Boundary conditions'!$D$40)</f>
        <v>3.6986008949826461E-2</v>
      </c>
      <c r="K27" s="141">
        <f>K11*(K13*'Boundary conditions'!$D$10+K14*'Boundary conditions'!$D$16+K15*'Boundary conditions'!$D$22)+K16*'Boundary conditions'!$D$46+K17*(K20*'Boundary conditions'!$D$34+'Reference systems'!K19*'Boundary conditions'!$D$28+K21*'Boundary conditions'!$D$40)</f>
        <v>7.3323283302672987E-2</v>
      </c>
      <c r="L27" s="141">
        <f>L11*(L13*'Boundary conditions'!$D$10+L14*'Boundary conditions'!$D$16+L15*'Boundary conditions'!$D$22)+L16*'Boundary conditions'!$D$46+L17*(L20*'Boundary conditions'!$D$34+'Reference systems'!L19*'Boundary conditions'!$D$28+L21*'Boundary conditions'!$D$40)</f>
        <v>3.5478460325853313E-2</v>
      </c>
      <c r="M27" s="223"/>
      <c r="N27" s="223"/>
      <c r="O27" s="223"/>
      <c r="P27" s="223"/>
      <c r="Q27" s="223"/>
      <c r="R27" s="223"/>
      <c r="S27" s="223"/>
      <c r="T27" s="223"/>
      <c r="U27" s="92"/>
    </row>
    <row r="28" spans="1:21" x14ac:dyDescent="0.25">
      <c r="A28" s="67" t="s">
        <v>8</v>
      </c>
      <c r="C28" s="15"/>
      <c r="D28" s="15"/>
      <c r="E28" s="15"/>
      <c r="F28" s="15"/>
      <c r="G28" s="15"/>
      <c r="H28" s="15"/>
      <c r="I28" s="15"/>
      <c r="J28" s="15"/>
      <c r="K28" s="15"/>
      <c r="M28" s="223"/>
      <c r="N28" s="223"/>
      <c r="O28" s="223"/>
      <c r="P28" s="223"/>
      <c r="Q28" s="223"/>
      <c r="R28" s="223"/>
      <c r="S28" s="223"/>
      <c r="T28" s="223"/>
      <c r="U28" s="92"/>
    </row>
    <row r="29" spans="1:21" x14ac:dyDescent="0.25">
      <c r="A29" s="9" t="s">
        <v>159</v>
      </c>
      <c r="B29" s="140" t="s">
        <v>66</v>
      </c>
      <c r="C29" s="154">
        <v>0</v>
      </c>
      <c r="D29" s="154">
        <v>0</v>
      </c>
      <c r="E29" s="154">
        <v>0</v>
      </c>
      <c r="F29" s="154">
        <v>0</v>
      </c>
      <c r="G29" s="154">
        <v>0</v>
      </c>
      <c r="H29" s="154">
        <v>0</v>
      </c>
      <c r="I29" s="154">
        <v>0</v>
      </c>
      <c r="J29" s="154">
        <v>0</v>
      </c>
      <c r="K29" s="154">
        <v>0</v>
      </c>
      <c r="L29" s="154">
        <v>0</v>
      </c>
      <c r="M29" s="223"/>
      <c r="N29" s="223"/>
      <c r="O29" s="223"/>
      <c r="P29" s="223"/>
      <c r="Q29" s="223"/>
      <c r="R29" s="223"/>
      <c r="S29" s="223"/>
      <c r="T29" s="223"/>
      <c r="U29" s="92"/>
    </row>
    <row r="30" spans="1:21" x14ac:dyDescent="0.25">
      <c r="A30" s="67" t="s">
        <v>112</v>
      </c>
      <c r="C30" s="15"/>
      <c r="D30" s="15"/>
      <c r="E30" s="15"/>
      <c r="F30" s="15"/>
      <c r="G30" s="15"/>
      <c r="H30" s="15"/>
      <c r="I30" s="15"/>
      <c r="J30" s="15"/>
      <c r="K30" s="15"/>
      <c r="M30" s="223"/>
      <c r="N30" s="223"/>
      <c r="O30" s="223"/>
      <c r="P30" s="223"/>
      <c r="Q30" s="223"/>
      <c r="R30" s="223"/>
      <c r="S30" s="223"/>
      <c r="T30" s="223"/>
      <c r="U30" s="92"/>
    </row>
    <row r="31" spans="1:21" x14ac:dyDescent="0.25">
      <c r="A31" s="40" t="s">
        <v>163</v>
      </c>
      <c r="B31" s="27" t="str">
        <f ca="1">INDIRECT(ADDRESS(HelpSheet!I9,HelpSheet!F31,1,1,"HelpSheet"))</f>
        <v>[EUR]</v>
      </c>
      <c r="C31" s="156">
        <f ca="1">1000 + C8*(600)</f>
        <v>8800</v>
      </c>
      <c r="D31" s="156">
        <f ca="1">2000 + D8*(900)</f>
        <v>13700</v>
      </c>
      <c r="E31" s="156">
        <f ca="1">1000 + E8*700</f>
        <v>10100</v>
      </c>
      <c r="F31" s="156">
        <f ca="1">16000+350*F8</f>
        <v>20550</v>
      </c>
      <c r="G31" s="156">
        <f ca="1">500 + G8*(400)</f>
        <v>5700</v>
      </c>
      <c r="H31" s="156">
        <v>0</v>
      </c>
      <c r="I31" s="156">
        <v>16000</v>
      </c>
      <c r="J31" s="156">
        <v>30000</v>
      </c>
      <c r="K31" s="156">
        <v>20000</v>
      </c>
      <c r="L31" s="156">
        <f ca="1">1000 + L8*(750)</f>
        <v>10750</v>
      </c>
      <c r="M31" s="223"/>
      <c r="N31" s="223"/>
      <c r="O31" s="223"/>
      <c r="P31" s="223"/>
      <c r="Q31" s="223"/>
      <c r="R31" s="223"/>
      <c r="S31" s="223"/>
      <c r="T31" s="223"/>
      <c r="U31" s="92"/>
    </row>
    <row r="32" spans="1:21" x14ac:dyDescent="0.25">
      <c r="A32" s="9" t="s">
        <v>164</v>
      </c>
      <c r="B32" s="27" t="str">
        <f ca="1">INDIRECT(ADDRESS(HelpSheet!I10,HelpSheet!F31,1,1,"HelpSheet"))</f>
        <v>[EUR]</v>
      </c>
      <c r="C32" s="4">
        <f t="shared" ref="C32:K32" ca="1" si="0">MAX(0,(C31*(1-C29)-C33))</f>
        <v>4800</v>
      </c>
      <c r="D32" s="4">
        <f t="shared" ca="1" si="0"/>
        <v>9700</v>
      </c>
      <c r="E32" s="4">
        <f t="shared" ca="1" si="0"/>
        <v>6100</v>
      </c>
      <c r="F32" s="4">
        <f ca="1">MAX(0,(F31*(1-F29)-F33))</f>
        <v>16550</v>
      </c>
      <c r="G32" s="4">
        <f t="shared" ca="1" si="0"/>
        <v>1700</v>
      </c>
      <c r="H32" s="4">
        <f t="shared" si="0"/>
        <v>0</v>
      </c>
      <c r="I32" s="4">
        <f t="shared" si="0"/>
        <v>12000</v>
      </c>
      <c r="J32" s="4">
        <f t="shared" si="0"/>
        <v>26000</v>
      </c>
      <c r="K32" s="4">
        <f t="shared" si="0"/>
        <v>16000</v>
      </c>
      <c r="L32" s="4">
        <f t="shared" ref="L32" ca="1" si="1">MAX(0,(L31*(1-L29)-L33))</f>
        <v>6750</v>
      </c>
      <c r="M32" s="223"/>
      <c r="N32" s="223"/>
      <c r="O32" s="223"/>
      <c r="P32" s="223"/>
      <c r="Q32" s="223"/>
      <c r="R32" s="223"/>
      <c r="S32" s="223"/>
      <c r="T32" s="223"/>
      <c r="U32" s="92"/>
    </row>
    <row r="33" spans="1:21" x14ac:dyDescent="0.25">
      <c r="A33" s="9" t="s">
        <v>113</v>
      </c>
      <c r="B33" s="27" t="str">
        <f ca="1">INDIRECT(ADDRESS(HelpSheet!I11,HelpSheet!F31,1,1,"HelpSheet"))</f>
        <v>[EUR]</v>
      </c>
      <c r="C33" s="85">
        <f ca="1">MIN('Boundary conditions'!$K3,C31)</f>
        <v>4000</v>
      </c>
      <c r="D33" s="85">
        <f ca="1">MIN('Boundary conditions'!$K3,D31)</f>
        <v>4000</v>
      </c>
      <c r="E33" s="85">
        <f ca="1">MIN('Boundary conditions'!$K3,E31)</f>
        <v>4000</v>
      </c>
      <c r="F33" s="85">
        <f ca="1">MIN('Boundary conditions'!$K3,F31)</f>
        <v>4000</v>
      </c>
      <c r="G33" s="85">
        <f ca="1">MIN('Boundary conditions'!$K3,G31)</f>
        <v>4000</v>
      </c>
      <c r="H33" s="85">
        <f>MIN('Boundary conditions'!$K3,H31)</f>
        <v>0</v>
      </c>
      <c r="I33" s="85">
        <f>MIN('Boundary conditions'!$K3,I31)</f>
        <v>4000</v>
      </c>
      <c r="J33" s="85">
        <f>MIN('Boundary conditions'!$K3,J31)</f>
        <v>4000</v>
      </c>
      <c r="K33" s="85">
        <f>MIN('Boundary conditions'!$K3,K31)</f>
        <v>4000</v>
      </c>
      <c r="L33" s="85">
        <f ca="1">MIN('Boundary conditions'!$K3,L31)</f>
        <v>4000</v>
      </c>
      <c r="M33" s="223"/>
      <c r="N33" s="223"/>
      <c r="O33" s="223"/>
      <c r="P33" s="223"/>
      <c r="Q33" s="223"/>
      <c r="R33" s="223"/>
      <c r="S33" s="223"/>
      <c r="T33" s="223"/>
      <c r="U33" s="92"/>
    </row>
    <row r="34" spans="1:21" x14ac:dyDescent="0.25">
      <c r="A34" s="9" t="s">
        <v>193</v>
      </c>
      <c r="B34" s="27" t="s">
        <v>156</v>
      </c>
      <c r="C34" s="157">
        <f ca="1">MAX(1,MIN(INT(C32/1000),C9))</f>
        <v>4</v>
      </c>
      <c r="D34" s="157">
        <f ca="1">MAX(1,MIN(INT(D32/1000),D9))</f>
        <v>9</v>
      </c>
      <c r="E34" s="157">
        <f t="shared" ref="E34:K34" ca="1" si="2">MAX(1,MIN(INT(E32/1000),E9))</f>
        <v>6</v>
      </c>
      <c r="F34" s="157">
        <f t="shared" ca="1" si="2"/>
        <v>16</v>
      </c>
      <c r="G34" s="157">
        <f t="shared" ca="1" si="2"/>
        <v>1</v>
      </c>
      <c r="H34" s="157">
        <f t="shared" si="2"/>
        <v>1</v>
      </c>
      <c r="I34" s="157">
        <f t="shared" si="2"/>
        <v>12</v>
      </c>
      <c r="J34" s="157">
        <f t="shared" si="2"/>
        <v>20</v>
      </c>
      <c r="K34" s="157">
        <f t="shared" si="2"/>
        <v>16</v>
      </c>
      <c r="L34" s="157">
        <f ca="1">MAX(1,MIN(INT(L32/1000),L9))</f>
        <v>6</v>
      </c>
      <c r="M34" s="223"/>
      <c r="N34" s="223"/>
      <c r="O34" s="223"/>
      <c r="P34" s="223"/>
      <c r="Q34" s="223"/>
      <c r="R34" s="223"/>
      <c r="S34" s="223"/>
      <c r="T34" s="223"/>
      <c r="U34" s="92"/>
    </row>
    <row r="35" spans="1:21" x14ac:dyDescent="0.25">
      <c r="A35" s="67" t="s">
        <v>6</v>
      </c>
      <c r="C35" s="15"/>
      <c r="D35" s="15"/>
      <c r="E35" s="15"/>
      <c r="F35" s="15"/>
      <c r="G35" s="15"/>
      <c r="H35" s="15"/>
      <c r="I35" s="15"/>
      <c r="J35" s="15"/>
      <c r="K35" s="15"/>
      <c r="M35" s="223"/>
      <c r="N35" s="223"/>
      <c r="O35" s="223"/>
      <c r="P35" s="223"/>
      <c r="Q35" s="223"/>
      <c r="R35" s="223"/>
      <c r="S35" s="223"/>
      <c r="T35" s="223"/>
      <c r="U35" s="92"/>
    </row>
    <row r="36" spans="1:21" x14ac:dyDescent="0.25">
      <c r="A36" s="9" t="s">
        <v>166</v>
      </c>
      <c r="B36" s="23" t="str">
        <f ca="1">INDIRECT(ADDRESS(HelpSheet!I12,HelpSheet!F31,1,1,"HelpSheet"))</f>
        <v>[EUR/a]</v>
      </c>
      <c r="C36" s="156">
        <v>0</v>
      </c>
      <c r="D36" s="156">
        <v>0</v>
      </c>
      <c r="E36" s="156">
        <v>0</v>
      </c>
      <c r="F36" s="156">
        <v>0</v>
      </c>
      <c r="G36" s="156">
        <v>0</v>
      </c>
      <c r="H36" s="156">
        <v>0</v>
      </c>
      <c r="I36" s="156">
        <v>0</v>
      </c>
      <c r="J36" s="156">
        <v>0</v>
      </c>
      <c r="K36" s="156">
        <v>0</v>
      </c>
      <c r="L36" s="156">
        <v>0</v>
      </c>
      <c r="M36" s="223"/>
      <c r="N36" s="223"/>
      <c r="O36" s="223"/>
      <c r="P36" s="223"/>
      <c r="Q36" s="223"/>
      <c r="R36" s="223"/>
      <c r="S36" s="223"/>
      <c r="T36" s="223"/>
      <c r="U36" s="92"/>
    </row>
    <row r="37" spans="1:21" x14ac:dyDescent="0.25">
      <c r="A37" s="9" t="s">
        <v>167</v>
      </c>
      <c r="B37" s="23" t="str">
        <f ca="1">INDIRECT(ADDRESS(HelpSheet!I8,HelpSheet!F31,1,1,"HelpSheet"))</f>
        <v>[EUR/kWh]</v>
      </c>
      <c r="C37" s="158">
        <v>0.02</v>
      </c>
      <c r="D37" s="158">
        <v>0</v>
      </c>
      <c r="E37" s="158">
        <v>0</v>
      </c>
      <c r="F37" s="158">
        <v>0</v>
      </c>
      <c r="G37" s="158">
        <v>8.2699999999999996E-2</v>
      </c>
      <c r="H37" s="158">
        <v>8.2699999999999996E-2</v>
      </c>
      <c r="I37" s="158">
        <v>0</v>
      </c>
      <c r="J37" s="158">
        <v>0</v>
      </c>
      <c r="K37" s="158">
        <v>8.2699999999999996E-2</v>
      </c>
      <c r="L37" s="158">
        <v>0.02</v>
      </c>
      <c r="M37" s="223"/>
      <c r="N37" s="223"/>
      <c r="O37" s="223"/>
      <c r="P37" s="223"/>
      <c r="Q37" s="223"/>
      <c r="R37" s="223"/>
      <c r="S37" s="223"/>
      <c r="T37" s="223"/>
      <c r="U37" s="92"/>
    </row>
    <row r="38" spans="1:21" x14ac:dyDescent="0.25">
      <c r="A38" s="9" t="s">
        <v>290</v>
      </c>
      <c r="B38" s="23" t="str">
        <f ca="1">INDIRECT(ADDRESS(HelpSheet!I14,HelpSheet!F31,1,1,"HelpSheet"))</f>
        <v>[EUR/(kW.a)]</v>
      </c>
      <c r="C38" s="156">
        <v>0</v>
      </c>
      <c r="D38" s="156">
        <v>0</v>
      </c>
      <c r="E38" s="156">
        <v>0</v>
      </c>
      <c r="F38" s="156">
        <v>0</v>
      </c>
      <c r="G38" s="156">
        <v>0</v>
      </c>
      <c r="H38" s="156">
        <v>0</v>
      </c>
      <c r="I38" s="156">
        <v>0</v>
      </c>
      <c r="J38" s="156">
        <v>0</v>
      </c>
      <c r="K38" s="156">
        <v>0</v>
      </c>
      <c r="L38" s="156">
        <v>0</v>
      </c>
      <c r="M38" s="223"/>
      <c r="N38" s="223"/>
      <c r="O38" s="223"/>
      <c r="P38" s="223"/>
      <c r="Q38" s="223"/>
      <c r="R38" s="223"/>
      <c r="S38" s="223"/>
      <c r="T38" s="223"/>
      <c r="U38" s="92"/>
    </row>
    <row r="39" spans="1:21" x14ac:dyDescent="0.25">
      <c r="M39" s="223"/>
      <c r="N39" s="223"/>
      <c r="O39" s="223"/>
      <c r="P39" s="223"/>
      <c r="Q39" s="223"/>
      <c r="R39" s="223"/>
      <c r="S39" s="223"/>
      <c r="T39" s="223"/>
    </row>
    <row r="40" spans="1:21" x14ac:dyDescent="0.25">
      <c r="A40" s="9" t="s">
        <v>255</v>
      </c>
      <c r="B40" s="23" t="s">
        <v>265</v>
      </c>
      <c r="C40" s="144">
        <f>(C13*'Boundary conditions'!$D$11+'Reference systems'!C14*'Boundary conditions'!$D$17+'Reference systems'!C15*'Boundary conditions'!$D$23)*'Reference systems'!C11+'Reference systems'!C17*('Reference systems'!C19*'Boundary conditions'!$D$29+'Reference systems'!C20*'Boundary conditions'!$D$35+'Reference systems'!C21*'Boundary conditions'!$D$41)+'Reference systems'!C16*'Boundary conditions'!$D$47</f>
        <v>0.247</v>
      </c>
      <c r="D40" s="95">
        <f>(D13*'Boundary conditions'!$D$11+'Reference systems'!D14*'Boundary conditions'!$D$17+'Reference systems'!D15*'Boundary conditions'!$D$23)*'Reference systems'!D11+'Reference systems'!D17*('Reference systems'!D19*'Boundary conditions'!$D$29+'Reference systems'!D20*'Boundary conditions'!$D$35+'Reference systems'!D21*'Boundary conditions'!$D$41)+'Reference systems'!D16*'Boundary conditions'!$D$47</f>
        <v>0.31</v>
      </c>
      <c r="E40" s="95">
        <f>(E13*'Boundary conditions'!$D$11+'Reference systems'!E14*'Boundary conditions'!$D$17+'Reference systems'!E15*'Boundary conditions'!$D$23)*'Reference systems'!E11+'Reference systems'!E17*('Reference systems'!E19*'Boundary conditions'!$D$29+'Reference systems'!E20*'Boundary conditions'!$D$35+'Reference systems'!E21*'Boundary conditions'!$D$41)+'Reference systems'!E16*'Boundary conditions'!$D$47</f>
        <v>0.375</v>
      </c>
      <c r="F40" s="95">
        <f>(F13*'Boundary conditions'!$D$11+'Reference systems'!F14*'Boundary conditions'!$D$17+'Reference systems'!F15*'Boundary conditions'!$D$23)*'Reference systems'!F11+'Reference systems'!F17*('Reference systems'!F19*'Boundary conditions'!$D$29+'Reference systems'!F20*'Boundary conditions'!$D$35+'Reference systems'!F21*'Boundary conditions'!$D$41)+'Reference systems'!F16*'Boundary conditions'!$D$47</f>
        <v>0.04</v>
      </c>
      <c r="G40" s="95">
        <f>(G13*'Boundary conditions'!$D$11+'Reference systems'!G14*'Boundary conditions'!$D$17+'Reference systems'!G15*'Boundary conditions'!$D$23)*'Reference systems'!G11+'Reference systems'!G17*('Reference systems'!G19*'Boundary conditions'!$D$29+'Reference systems'!G20*'Boundary conditions'!$D$35+'Reference systems'!G21*'Boundary conditions'!$D$41)+'Reference systems'!G16*'Boundary conditions'!$D$47</f>
        <v>0.22700000000000001</v>
      </c>
      <c r="H40" s="95">
        <f>(H13*'Boundary conditions'!$D$11+'Reference systems'!H14*'Boundary conditions'!$D$17+'Reference systems'!H15*'Boundary conditions'!$D$23)*'Reference systems'!H11+'Reference systems'!H17*('Reference systems'!H19*'Boundary conditions'!$D$29+'Reference systems'!H20*'Boundary conditions'!$D$35+'Reference systems'!H21*'Boundary conditions'!$D$41)+'Reference systems'!H16*'Boundary conditions'!$D$47</f>
        <v>0.22700000000000001</v>
      </c>
      <c r="I40" s="95">
        <f>(I13*'Boundary conditions'!$D$11+'Reference systems'!I14*'Boundary conditions'!$D$17+'Reference systems'!I15*'Boundary conditions'!$D$23)*'Reference systems'!I11+'Reference systems'!I17*('Reference systems'!I19*'Boundary conditions'!$D$29+'Reference systems'!I20*'Boundary conditions'!$D$35+'Reference systems'!I21*'Boundary conditions'!$D$41)+'Reference systems'!I16*'Boundary conditions'!$D$47</f>
        <v>0.01</v>
      </c>
      <c r="J40" s="95">
        <f>(J13*'Boundary conditions'!$D$11+'Reference systems'!J14*'Boundary conditions'!$D$17+'Reference systems'!J15*'Boundary conditions'!$D$23)*'Reference systems'!J11+'Reference systems'!J17*('Reference systems'!J19*'Boundary conditions'!$D$29+'Reference systems'!J20*'Boundary conditions'!$D$35+'Reference systems'!J21*'Boundary conditions'!$D$41)+'Reference systems'!J16*'Boundary conditions'!$D$47</f>
        <v>0.01</v>
      </c>
      <c r="K40" s="95">
        <f>(K13*'Boundary conditions'!$D$11+'Reference systems'!K14*'Boundary conditions'!$D$17+'Reference systems'!K15*'Boundary conditions'!$D$23)*'Reference systems'!K11+'Reference systems'!K17*('Reference systems'!K19*'Boundary conditions'!$D$29+'Reference systems'!K20*'Boundary conditions'!$D$35+'Reference systems'!K21*'Boundary conditions'!$D$41)+'Reference systems'!K16*'Boundary conditions'!$D$47</f>
        <v>0.22700000000000001</v>
      </c>
      <c r="L40" s="95">
        <f>(L13*'Boundary conditions'!$D$11+'Reference systems'!L14*'Boundary conditions'!$D$17+'Reference systems'!L15*'Boundary conditions'!$D$23)*'Reference systems'!L11+'Reference systems'!L17*('Reference systems'!L19*'Boundary conditions'!$D$29+'Reference systems'!L20*'Boundary conditions'!$D$35+'Reference systems'!L21*'Boundary conditions'!$D$41)+'Reference systems'!L16*'Boundary conditions'!$D$47</f>
        <v>0.247</v>
      </c>
      <c r="M40" s="223"/>
      <c r="N40" s="223"/>
      <c r="O40" s="223"/>
      <c r="P40" s="223"/>
      <c r="Q40" s="223"/>
      <c r="R40" s="223"/>
      <c r="S40" s="223"/>
      <c r="T40" s="223"/>
    </row>
    <row r="41" spans="1:21" x14ac:dyDescent="0.25">
      <c r="M41" s="171"/>
      <c r="N41" s="171"/>
      <c r="O41" s="171"/>
      <c r="P41" s="171"/>
      <c r="Q41" s="171"/>
      <c r="R41" s="171"/>
      <c r="S41" s="171"/>
      <c r="T41" s="171"/>
    </row>
    <row r="48" spans="1:21" x14ac:dyDescent="0.25">
      <c r="A48" s="15"/>
      <c r="C48" s="15"/>
      <c r="D48" s="15"/>
      <c r="E48" s="15"/>
      <c r="F48" s="15"/>
      <c r="G48" s="15"/>
      <c r="H48" s="15"/>
      <c r="I48" s="15"/>
      <c r="J48" s="15"/>
      <c r="K48" s="15"/>
    </row>
    <row r="49" spans="1:11" x14ac:dyDescent="0.25">
      <c r="A49" s="15"/>
      <c r="C49" s="15"/>
      <c r="D49" s="15"/>
      <c r="E49" s="15"/>
      <c r="F49" s="15"/>
      <c r="G49" s="15"/>
      <c r="H49" s="15"/>
      <c r="I49" s="15"/>
      <c r="J49" s="15"/>
      <c r="K49" s="15"/>
    </row>
    <row r="50" spans="1:11" x14ac:dyDescent="0.25">
      <c r="A50" s="15"/>
      <c r="C50" s="15"/>
      <c r="D50" s="15"/>
      <c r="E50" s="15"/>
      <c r="F50" s="15"/>
      <c r="G50" s="15"/>
      <c r="H50" s="15"/>
      <c r="I50" s="15"/>
      <c r="J50" s="15"/>
      <c r="K50" s="15"/>
    </row>
    <row r="51" spans="1:11" x14ac:dyDescent="0.25">
      <c r="A51" s="15"/>
      <c r="C51" s="15"/>
      <c r="D51" s="15"/>
      <c r="E51" s="15"/>
      <c r="F51" s="15"/>
      <c r="G51" s="15"/>
      <c r="H51" s="15"/>
      <c r="I51" s="15"/>
      <c r="J51" s="15"/>
      <c r="K51" s="15"/>
    </row>
    <row r="52" spans="1:11" x14ac:dyDescent="0.25">
      <c r="A52" s="15"/>
      <c r="C52" s="15"/>
      <c r="D52" s="15"/>
      <c r="E52" s="15"/>
      <c r="F52" s="15"/>
      <c r="G52" s="15"/>
      <c r="H52" s="15"/>
      <c r="I52" s="15"/>
      <c r="J52" s="15"/>
      <c r="K52" s="15"/>
    </row>
    <row r="53" spans="1:11" x14ac:dyDescent="0.25">
      <c r="A53" s="15"/>
      <c r="C53" s="15"/>
      <c r="D53" s="15"/>
      <c r="E53" s="15"/>
      <c r="F53" s="15"/>
      <c r="G53" s="15"/>
      <c r="H53" s="15"/>
      <c r="I53" s="15"/>
      <c r="J53" s="15"/>
      <c r="K53" s="15"/>
    </row>
    <row r="54" spans="1:11" x14ac:dyDescent="0.25">
      <c r="A54" s="15"/>
      <c r="C54" s="15"/>
      <c r="D54" s="15"/>
      <c r="E54" s="15"/>
      <c r="F54" s="15"/>
      <c r="G54" s="15"/>
      <c r="H54" s="15"/>
      <c r="I54" s="15"/>
      <c r="J54" s="15"/>
      <c r="K54" s="15"/>
    </row>
    <row r="55" spans="1:11" x14ac:dyDescent="0.25">
      <c r="A55" s="15"/>
      <c r="C55" s="15"/>
      <c r="D55" s="15"/>
      <c r="E55" s="15"/>
      <c r="F55" s="15"/>
      <c r="G55" s="15"/>
      <c r="H55" s="15"/>
      <c r="I55" s="15"/>
      <c r="J55" s="15"/>
      <c r="K55" s="15"/>
    </row>
    <row r="56" spans="1:11" x14ac:dyDescent="0.25">
      <c r="A56" s="15"/>
      <c r="C56" s="15"/>
      <c r="D56" s="15"/>
      <c r="E56" s="15"/>
      <c r="F56" s="15"/>
      <c r="G56" s="15"/>
      <c r="H56" s="15"/>
      <c r="I56" s="15"/>
      <c r="J56" s="15"/>
      <c r="K56" s="15"/>
    </row>
    <row r="57" spans="1:11" x14ac:dyDescent="0.25">
      <c r="A57" s="15"/>
      <c r="C57" s="15"/>
      <c r="D57" s="15"/>
      <c r="E57" s="15"/>
      <c r="F57" s="15"/>
      <c r="G57" s="15"/>
      <c r="H57" s="15"/>
      <c r="I57" s="15"/>
      <c r="J57" s="15"/>
      <c r="K57" s="15"/>
    </row>
    <row r="58" spans="1:11" x14ac:dyDescent="0.25">
      <c r="A58" s="15"/>
      <c r="C58" s="15"/>
      <c r="D58" s="15"/>
      <c r="E58" s="15"/>
      <c r="F58" s="15"/>
      <c r="G58" s="15"/>
      <c r="H58" s="15"/>
      <c r="I58" s="15"/>
      <c r="J58" s="15"/>
      <c r="K58" s="15"/>
    </row>
    <row r="59" spans="1:11" x14ac:dyDescent="0.25">
      <c r="A59" s="15"/>
      <c r="C59" s="15"/>
      <c r="D59" s="15"/>
      <c r="E59" s="15"/>
      <c r="F59" s="15"/>
      <c r="G59" s="15"/>
      <c r="H59" s="15"/>
      <c r="I59" s="15"/>
      <c r="J59" s="15"/>
      <c r="K59" s="15"/>
    </row>
    <row r="60" spans="1:11" x14ac:dyDescent="0.25">
      <c r="A60" s="15"/>
      <c r="C60" s="15"/>
      <c r="D60" s="15"/>
      <c r="E60" s="15"/>
      <c r="F60" s="15"/>
      <c r="G60" s="15"/>
      <c r="H60" s="15"/>
      <c r="I60" s="15"/>
      <c r="J60" s="15"/>
      <c r="K60" s="15"/>
    </row>
    <row r="61" spans="1:11" x14ac:dyDescent="0.25">
      <c r="A61" s="15"/>
      <c r="C61" s="15"/>
      <c r="D61" s="15"/>
      <c r="E61" s="15"/>
      <c r="F61" s="15"/>
      <c r="G61" s="15"/>
      <c r="H61" s="15"/>
      <c r="I61" s="15"/>
      <c r="J61" s="15"/>
      <c r="K61" s="15"/>
    </row>
    <row r="62" spans="1:11" x14ac:dyDescent="0.25">
      <c r="A62" s="15"/>
      <c r="C62" s="15"/>
      <c r="D62" s="15"/>
      <c r="E62" s="15"/>
      <c r="F62" s="15"/>
      <c r="G62" s="15"/>
      <c r="H62" s="15"/>
      <c r="I62" s="15"/>
      <c r="J62" s="15"/>
      <c r="K62" s="15"/>
    </row>
    <row r="63" spans="1:11" x14ac:dyDescent="0.25">
      <c r="A63" s="15"/>
      <c r="C63" s="15"/>
      <c r="D63" s="15"/>
      <c r="E63" s="15"/>
      <c r="F63" s="15"/>
      <c r="G63" s="15"/>
      <c r="H63" s="15"/>
      <c r="I63" s="15"/>
      <c r="J63" s="15"/>
      <c r="K63" s="15"/>
    </row>
    <row r="64" spans="1:11" x14ac:dyDescent="0.25">
      <c r="A64" s="15"/>
      <c r="C64" s="15"/>
      <c r="D64" s="15"/>
      <c r="E64" s="15"/>
      <c r="F64" s="15"/>
      <c r="G64" s="15"/>
      <c r="H64" s="15"/>
      <c r="I64" s="15"/>
      <c r="J64" s="15"/>
      <c r="K64" s="15"/>
    </row>
    <row r="65" spans="1:11" x14ac:dyDescent="0.25">
      <c r="A65" s="15"/>
      <c r="C65" s="15"/>
      <c r="D65" s="15"/>
      <c r="E65" s="15"/>
      <c r="F65" s="15"/>
      <c r="G65" s="15"/>
      <c r="H65" s="15"/>
      <c r="I65" s="15"/>
      <c r="J65" s="15"/>
      <c r="K65" s="15"/>
    </row>
    <row r="66" spans="1:11" x14ac:dyDescent="0.25">
      <c r="A66" s="15"/>
      <c r="C66" s="15"/>
      <c r="D66" s="15"/>
      <c r="E66" s="15"/>
      <c r="F66" s="15"/>
      <c r="G66" s="15"/>
      <c r="H66" s="15"/>
      <c r="I66" s="15"/>
      <c r="J66" s="15"/>
      <c r="K66" s="15"/>
    </row>
  </sheetData>
  <sheetProtection sheet="1" objects="1" scenarios="1"/>
  <mergeCells count="16">
    <mergeCell ref="M25:T40"/>
    <mergeCell ref="C3:L4"/>
    <mergeCell ref="M5:T22"/>
    <mergeCell ref="B3:B6"/>
    <mergeCell ref="A5:A6"/>
    <mergeCell ref="A3:A4"/>
    <mergeCell ref="E5:E6"/>
    <mergeCell ref="F5:F6"/>
    <mergeCell ref="G5:G6"/>
    <mergeCell ref="H5:H6"/>
    <mergeCell ref="I5:I6"/>
    <mergeCell ref="J5:J6"/>
    <mergeCell ref="K5:K6"/>
    <mergeCell ref="C5:C6"/>
    <mergeCell ref="D5:D6"/>
    <mergeCell ref="L5:L6"/>
  </mergeCells>
  <dataValidations count="1">
    <dataValidation type="whole" operator="greaterThan" allowBlank="1" showInputMessage="1" showErrorMessage="1" error="Installation lifetime should be higher than loan period!" sqref="C9:L9" xr:uid="{188ECBDF-73C9-43B0-A2B3-10C5AED008F6}">
      <formula1>C34</formula1>
    </dataValidation>
  </dataValidations>
  <pageMargins left="0.7" right="0.7" top="0.78740157499999996" bottom="0.78740157499999996" header="0.3" footer="0.3"/>
  <pageSetup paperSize="9" orientation="portrait" horizontalDpi="4294967292" verticalDpi="1200" r:id="rId1"/>
  <ignoredErrors>
    <ignoredError sqref="L17" formulaRange="1"/>
  </ignoredErrors>
  <extLst>
    <ext xmlns:x14="http://schemas.microsoft.com/office/spreadsheetml/2009/9/main" uri="{CCE6A557-97BC-4b89-ADB6-D9C93CAAB3DF}">
      <x14:dataValidations xmlns:xm="http://schemas.microsoft.com/office/excel/2006/main" count="3">
        <x14:dataValidation type="whole" operator="lessThanOrEqual" allowBlank="1" showInputMessage="1" showErrorMessage="1" xr:uid="{E7B82C8B-0815-46DF-93C2-B486EF939B76}">
          <x14:formula1>
            <xm:f>'Boundary conditions'!$K$3</xm:f>
          </x14:formula1>
          <xm:sqref>C33:L33</xm:sqref>
        </x14:dataValidation>
        <x14:dataValidation type="custom" allowBlank="1" showInputMessage="1" showErrorMessage="1" errorTitle="This amount is too low!" error="The amount of invest to be financed have to be equal or higher than the difference between the total investment and the available capital (= max Equity) defined in the sheet &quot;Starting point&quot;. " xr:uid="{CBE0A989-F8C6-429A-A8CD-E6782D06A4B5}">
          <x14:formula1>
            <xm:f>D32&gt;=D31*(1-D29)-'Boundary conditions'!H1048575</xm:f>
          </x14:formula1>
          <xm:sqref>D32:L32</xm:sqref>
        </x14:dataValidation>
        <x14:dataValidation type="custom" allowBlank="1" showInputMessage="1" showErrorMessage="1" errorTitle="This amount is too low!" error="The amount of invest to be financed have to be equal or higher than the difference between the total investment and the available capital (= max Equity) defined in the sheet &quot;Starting point&quot;. " xr:uid="{DB62FF24-626E-4F59-B0AB-80176D3F5181}">
          <x14:formula1>
            <xm:f>C32&gt;=C31*(1-C29)-'Boundary conditions'!B1048574</xm:f>
          </x14:formula1>
          <xm:sqref>C32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57"/>
  <sheetViews>
    <sheetView showGridLines="0" zoomScaleNormal="100" zoomScalePageLayoutView="70" workbookViewId="0">
      <selection activeCell="B1" sqref="B1:N2"/>
    </sheetView>
  </sheetViews>
  <sheetFormatPr baseColWidth="10" defaultRowHeight="15" x14ac:dyDescent="0.25"/>
  <cols>
    <col min="1" max="1" width="31.5703125" bestFit="1" customWidth="1"/>
    <col min="2" max="2" width="10.7109375" bestFit="1" customWidth="1"/>
    <col min="3" max="14" width="11.42578125" customWidth="1"/>
  </cols>
  <sheetData>
    <row r="1" spans="1:17" x14ac:dyDescent="0.25">
      <c r="B1" s="212" t="s">
        <v>305</v>
      </c>
      <c r="C1" s="212"/>
      <c r="D1" s="212"/>
      <c r="E1" s="212"/>
      <c r="F1" s="212"/>
      <c r="G1" s="212"/>
      <c r="H1" s="212"/>
      <c r="I1" s="212"/>
      <c r="J1" s="212"/>
      <c r="K1" s="212"/>
      <c r="L1" s="212"/>
      <c r="M1" s="212"/>
      <c r="N1" s="212"/>
    </row>
    <row r="2" spans="1:17" x14ac:dyDescent="0.25">
      <c r="A2" s="46"/>
      <c r="B2" s="212"/>
      <c r="C2" s="212"/>
      <c r="D2" s="212"/>
      <c r="E2" s="212"/>
      <c r="F2" s="212"/>
      <c r="G2" s="212"/>
      <c r="H2" s="212"/>
      <c r="I2" s="212"/>
      <c r="J2" s="212"/>
      <c r="K2" s="212"/>
      <c r="L2" s="212"/>
      <c r="M2" s="212"/>
      <c r="N2" s="212"/>
    </row>
    <row r="3" spans="1:17" x14ac:dyDescent="0.25">
      <c r="A3" s="15"/>
      <c r="B3" s="15"/>
      <c r="C3" s="15"/>
      <c r="D3" s="15"/>
      <c r="F3" s="15"/>
      <c r="G3" s="15"/>
      <c r="H3" s="15"/>
      <c r="I3" s="15"/>
      <c r="J3" s="15"/>
      <c r="K3" s="15"/>
      <c r="L3" s="15"/>
      <c r="M3" s="15"/>
      <c r="N3" s="15"/>
      <c r="O3" s="15"/>
      <c r="P3" s="15"/>
      <c r="Q3" s="15"/>
    </row>
    <row r="4" spans="1:17" ht="14.45" customHeight="1" x14ac:dyDescent="0.25">
      <c r="C4" s="15"/>
      <c r="E4" s="206" t="s">
        <v>200</v>
      </c>
      <c r="F4" s="206"/>
      <c r="G4" s="206"/>
      <c r="H4" s="206"/>
      <c r="I4" s="206"/>
      <c r="J4" s="206"/>
      <c r="K4" s="206"/>
      <c r="L4" s="206"/>
      <c r="M4" s="206"/>
      <c r="N4" s="206"/>
      <c r="O4" s="15"/>
      <c r="P4" s="15"/>
      <c r="Q4" s="15"/>
    </row>
    <row r="5" spans="1:17" ht="43.15" customHeight="1" x14ac:dyDescent="0.25">
      <c r="A5" s="193" t="s">
        <v>179</v>
      </c>
      <c r="B5" s="193" t="s">
        <v>54</v>
      </c>
      <c r="C5" s="207" t="s">
        <v>154</v>
      </c>
      <c r="D5" s="207" t="s">
        <v>199</v>
      </c>
      <c r="E5" s="204" t="str">
        <f>'Reference systems'!C5:C6</f>
        <v>Natural gas boiler</v>
      </c>
      <c r="F5" s="204" t="str">
        <f>'Reference systems'!D5:D6</f>
        <v>Oil boiler</v>
      </c>
      <c r="G5" s="204" t="str">
        <f>'Reference systems'!E5:E6</f>
        <v>Coal boiler</v>
      </c>
      <c r="H5" s="204" t="str">
        <f>'Reference systems'!F5:F6</f>
        <v>Pellets boiler</v>
      </c>
      <c r="I5" s="204" t="str">
        <f>'Reference systems'!G5:G6</f>
        <v>Electric boiler</v>
      </c>
      <c r="J5" s="204" t="str">
        <f>'Reference systems'!H5:H6</f>
        <v>Electrical heaters</v>
      </c>
      <c r="K5" s="204" t="str">
        <f>'Reference systems'!I5:I6</f>
        <v>Log wood boiler</v>
      </c>
      <c r="L5" s="204" t="str">
        <f>'Reference systems'!J5:J6</f>
        <v>Wood chips boiler</v>
      </c>
      <c r="M5" s="204" t="str">
        <f>'Reference systems'!K5:K6</f>
        <v>Heat pump</v>
      </c>
      <c r="N5" s="204" t="str">
        <f>'Reference systems'!L5:L6</f>
        <v>Condensing boiler</v>
      </c>
      <c r="O5" s="15"/>
      <c r="P5" s="15"/>
      <c r="Q5" s="15"/>
    </row>
    <row r="6" spans="1:17" x14ac:dyDescent="0.25">
      <c r="A6" s="195"/>
      <c r="B6" s="195"/>
      <c r="C6" s="208"/>
      <c r="D6" s="208"/>
      <c r="E6" s="205"/>
      <c r="F6" s="205"/>
      <c r="G6" s="205"/>
      <c r="H6" s="205"/>
      <c r="I6" s="205"/>
      <c r="J6" s="205"/>
      <c r="K6" s="205"/>
      <c r="L6" s="205"/>
      <c r="M6" s="205"/>
      <c r="N6" s="205"/>
      <c r="O6" s="15"/>
      <c r="P6" s="15"/>
      <c r="Q6" s="15"/>
    </row>
    <row r="7" spans="1:17" x14ac:dyDescent="0.25">
      <c r="A7" s="3" t="s">
        <v>168</v>
      </c>
      <c r="B7" s="23" t="str">
        <f ca="1">INDIRECT(ADDRESS(HelpSheet!I15,HelpSheet!F31,1,1,"HelpSheet"))</f>
        <v>[EUR/a]</v>
      </c>
      <c r="C7" s="69">
        <f ca="1">('Heating system'!H11+('Heating system'!H24+'Heating system'!H12)*'Heating system'!D15+C10+'Heating system'!H22+(('Heating system'!H13+'Heating system'!H23)*'Heating system'!D25/'Heating system'!D12))</f>
        <v>3138.1765540830552</v>
      </c>
      <c r="D7" s="69">
        <f ca="1">'DH system'!$D$8*'DH system'!D23+'DH system'!D22*'DH system'!$D$9+'DH system'!D21+'DH system'!D25+'DH system'!D26*'DH system'!$D$9</f>
        <v>1886.8</v>
      </c>
      <c r="E7" s="69">
        <f ca="1">('Reference systems'!C25+('Reference systems'!C38+'Reference systems'!C26)*'Reference systems'!C8+E10+'Reference systems'!C36+(('Reference systems'!C27+'Reference systems'!C37)*'Reference systems'!C7/'Reference systems'!C22))</f>
        <v>1909.66284959672</v>
      </c>
      <c r="F7" s="69">
        <f ca="1">('Reference systems'!D25+('Reference systems'!D38+'Reference systems'!D26)*'Reference systems'!D8+F10+'Reference systems'!D36+(('Reference systems'!D27+'Reference systems'!D37)*'Reference systems'!D7/'Reference systems'!D22))</f>
        <v>2681.3029221368988</v>
      </c>
      <c r="G7" s="69">
        <f ca="1">('Reference systems'!E25+('Reference systems'!E38+'Reference systems'!E26)*'Reference systems'!E8+G10+'Reference systems'!E36+(('Reference systems'!E27+'Reference systems'!E37)*'Reference systems'!E7/'Reference systems'!E22))</f>
        <v>3060.6375523336287</v>
      </c>
      <c r="H7" s="69">
        <f ca="1">('Reference systems'!F25+('Reference systems'!F38+'Reference systems'!F26)*'Reference systems'!F8+H10+'Reference systems'!F36+(('Reference systems'!F27+'Reference systems'!F37)*'Reference systems'!F7/'Reference systems'!F22))</f>
        <v>2475.51040762599</v>
      </c>
      <c r="I7" s="69">
        <f ca="1">('Reference systems'!G25+('Reference systems'!G38+'Reference systems'!G26)*'Reference systems'!G8+I10+'Reference systems'!G36+(('Reference systems'!G27+'Reference systems'!G37)*'Reference systems'!G7/'Reference systems'!G22))</f>
        <v>3792.3434963652344</v>
      </c>
      <c r="J7" s="69">
        <f ca="1">('Reference systems'!H25+('Reference systems'!H38+'Reference systems'!H26)*'Reference systems'!H8+J10+'Reference systems'!H36+(('Reference systems'!H27+'Reference systems'!H37)*'Reference systems'!H7/'Reference systems'!H22))</f>
        <v>3325.7148912933803</v>
      </c>
      <c r="K7" s="69">
        <f ca="1">('Reference systems'!I25+('Reference systems'!I38+'Reference systems'!I26)*'Reference systems'!I8+K10+'Reference systems'!I36+(('Reference systems'!I27+'Reference systems'!I37)*'Reference systems'!I7/'Reference systems'!I22))</f>
        <v>1926.4851568091194</v>
      </c>
      <c r="L7" s="69">
        <f ca="1">('Reference systems'!J25+('Reference systems'!J38+'Reference systems'!J26)*'Reference systems'!J8+L10+'Reference systems'!J36+(('Reference systems'!J27+'Reference systems'!J37)*'Reference systems'!J7/'Reference systems'!J22))</f>
        <v>2701.779791870772</v>
      </c>
      <c r="M7" s="69">
        <f ca="1">('Reference systems'!K25+('Reference systems'!K38+'Reference systems'!K26)*'Reference systems'!K8+M10+'Reference systems'!K36+(('Reference systems'!K27+'Reference systems'!K37)*'Reference systems'!K7/'Reference systems'!K22))</f>
        <v>2191.2150944664704</v>
      </c>
      <c r="N7" s="69">
        <f ca="1">('Reference systems'!L25+('Reference systems'!L38+'Reference systems'!L26)*'Reference systems'!L8+N10+'Reference systems'!L36+(('Reference systems'!L27+'Reference systems'!L37)*'Reference systems'!L7/'Reference systems'!L22))</f>
        <v>1867.1094784519262</v>
      </c>
      <c r="O7" s="15"/>
      <c r="P7" s="15"/>
      <c r="Q7" s="15"/>
    </row>
    <row r="8" spans="1:17" x14ac:dyDescent="0.25">
      <c r="A8" s="3" t="s">
        <v>172</v>
      </c>
      <c r="B8" s="23" t="str">
        <f ca="1">INDIRECT(ADDRESS(HelpSheet!I19,HelpSheet!F31,1,1,"HelpSheet"))</f>
        <v>[EUR/a]</v>
      </c>
      <c r="C8" s="69">
        <f ca="1">(('Heating system'!H13+'Heating system'!H23)*'Heating system'!D25/'Heating system'!D12)</f>
        <v>2320</v>
      </c>
      <c r="D8" s="69">
        <f ca="1">'DH system'!$D$8*'DH system'!D23</f>
        <v>1281.8</v>
      </c>
      <c r="E8" s="69">
        <f ca="1">E7-E9</f>
        <v>1367.544047032284</v>
      </c>
      <c r="F8" s="69">
        <f t="shared" ref="F8:M8" ca="1" si="0">F7-F9</f>
        <v>1946.5230380157959</v>
      </c>
      <c r="G8" s="69">
        <f t="shared" ca="1" si="0"/>
        <v>2533.9353157602081</v>
      </c>
      <c r="H8" s="69">
        <f t="shared" ca="1" si="0"/>
        <v>1300.3827411302059</v>
      </c>
      <c r="I8" s="69">
        <f t="shared" ca="1" si="0"/>
        <v>3418.6434963652346</v>
      </c>
      <c r="J8" s="69">
        <f t="shared" ca="1" si="0"/>
        <v>3238.7148912933803</v>
      </c>
      <c r="K8" s="69">
        <f t="shared" ca="1" si="0"/>
        <v>1045.6560611238688</v>
      </c>
      <c r="L8" s="69">
        <f t="shared" ca="1" si="0"/>
        <v>911.70512061322211</v>
      </c>
      <c r="M8" s="69">
        <f t="shared" ca="1" si="0"/>
        <v>961.49348335272202</v>
      </c>
      <c r="N8" s="69">
        <f ca="1">N7-N9</f>
        <v>1215.5947084731413</v>
      </c>
      <c r="O8" s="15"/>
      <c r="P8" s="15"/>
      <c r="Q8" s="15"/>
    </row>
    <row r="9" spans="1:17" x14ac:dyDescent="0.25">
      <c r="A9" s="3" t="s">
        <v>171</v>
      </c>
      <c r="B9" s="23" t="str">
        <f ca="1">INDIRECT(ADDRESS(HelpSheet!I18,HelpSheet!F31,1,1,"HelpSheet"))</f>
        <v>[EUR/a]</v>
      </c>
      <c r="C9" s="69">
        <f ca="1">('Heating system'!H11+('Heating system'!H24+'Heating system'!H12)*'Heating system'!D15+C10+'Heating system'!H22)</f>
        <v>818.17655408305507</v>
      </c>
      <c r="D9" s="69">
        <f ca="1">'DH system'!D22*'DH system'!$D$9+'DH system'!D21+'DH system'!D25+'DH system'!D26*'DH system'!$D$9</f>
        <v>605</v>
      </c>
      <c r="E9" s="69">
        <f ca="1">('Reference systems'!C25+('Reference systems'!C38+'Reference systems'!C26)*'Reference systems'!C8+E10+'Reference systems'!C36)</f>
        <v>542.11880256443601</v>
      </c>
      <c r="F9" s="69">
        <f ca="1">('Reference systems'!D25+('Reference systems'!D38+'Reference systems'!D26)*'Reference systems'!D8+F10+'Reference systems'!D36)</f>
        <v>734.77988412110278</v>
      </c>
      <c r="G9" s="69">
        <f ca="1">('Reference systems'!E25+('Reference systems'!E38+'Reference systems'!E26)*'Reference systems'!E8+G10+'Reference systems'!E36)</f>
        <v>526.70223657342046</v>
      </c>
      <c r="H9" s="69">
        <f ca="1">('Reference systems'!F25+('Reference systems'!F38+'Reference systems'!F26)*'Reference systems'!F8+H10+'Reference systems'!F36)</f>
        <v>1175.1276664957841</v>
      </c>
      <c r="I9" s="69">
        <f ca="1">('Reference systems'!G25+('Reference systems'!G38+'Reference systems'!G26)*'Reference systems'!G8+I10+'Reference systems'!G36)</f>
        <v>373.7</v>
      </c>
      <c r="J9" s="69">
        <f ca="1">('Reference systems'!H25+('Reference systems'!H38+'Reference systems'!H26)*'Reference systems'!H8+J10+'Reference systems'!H36)</f>
        <v>87</v>
      </c>
      <c r="K9" s="69">
        <f ca="1">('Reference systems'!I25+('Reference systems'!I38+'Reference systems'!I26)*'Reference systems'!I8+K10+'Reference systems'!I36)</f>
        <v>880.82909568525065</v>
      </c>
      <c r="L9" s="69">
        <f ca="1">('Reference systems'!J25+('Reference systems'!J38+'Reference systems'!J26)*'Reference systems'!J8+L10+'Reference systems'!J36)</f>
        <v>1790.0746712575499</v>
      </c>
      <c r="M9" s="69">
        <f ca="1">('Reference systems'!K25+('Reference systems'!K38+'Reference systems'!K26)*'Reference systems'!K8+M10+'Reference systems'!K36)</f>
        <v>1229.7216111137484</v>
      </c>
      <c r="N9" s="69">
        <f ca="1">('Reference systems'!L25+('Reference systems'!L38+'Reference systems'!L26)*'Reference systems'!L8+N10+'Reference systems'!L36)</f>
        <v>651.5147699787849</v>
      </c>
      <c r="O9" s="15"/>
      <c r="P9" s="15"/>
      <c r="Q9" s="15"/>
    </row>
    <row r="10" spans="1:17" x14ac:dyDescent="0.25">
      <c r="A10" s="86" t="s">
        <v>204</v>
      </c>
      <c r="B10" s="23" t="str">
        <f ca="1">INDIRECT(ADDRESS(HelpSheet!I16,HelpSheet!F31,1,1,"HelpSheet"))</f>
        <v>[EUR/a]</v>
      </c>
      <c r="C10" s="69">
        <f>HelpSheet!C102</f>
        <v>818.17655408305507</v>
      </c>
      <c r="D10" s="77"/>
      <c r="E10" s="69">
        <f ca="1">HelpSheet!D102</f>
        <v>452.11880256443601</v>
      </c>
      <c r="F10" s="69">
        <f ca="1">HelpSheet!E102</f>
        <v>734.77988412110278</v>
      </c>
      <c r="G10" s="69">
        <f ca="1">HelpSheet!F102</f>
        <v>526.70223657342046</v>
      </c>
      <c r="H10" s="69">
        <f ca="1">HelpSheet!G102</f>
        <v>1175.1276664957841</v>
      </c>
      <c r="I10" s="69">
        <f ca="1">HelpSheet!H102</f>
        <v>286.7</v>
      </c>
      <c r="J10" s="69">
        <f>HelpSheet!I102</f>
        <v>0</v>
      </c>
      <c r="K10" s="69">
        <f>HelpSheet!J102</f>
        <v>880.82909568525065</v>
      </c>
      <c r="L10" s="69">
        <f>HelpSheet!K102</f>
        <v>1790.0746712575499</v>
      </c>
      <c r="M10" s="69">
        <f>HelpSheet!L102</f>
        <v>1142.7216111137484</v>
      </c>
      <c r="N10" s="69">
        <f ca="1">HelpSheet!M102</f>
        <v>561.5147699787849</v>
      </c>
      <c r="O10" s="15"/>
      <c r="P10" s="15"/>
      <c r="Q10" s="15"/>
    </row>
    <row r="11" spans="1:17" x14ac:dyDescent="0.25">
      <c r="A11" s="3" t="s">
        <v>177</v>
      </c>
      <c r="B11" s="23" t="s">
        <v>66</v>
      </c>
      <c r="C11" s="75">
        <f ca="1">C9/C7</f>
        <v>0.26071718400245275</v>
      </c>
      <c r="D11" s="75">
        <f ca="1">D9/D7</f>
        <v>0.3206487174051304</v>
      </c>
      <c r="E11" s="75">
        <f t="shared" ref="E11:N11" ca="1" si="1">E9/E7</f>
        <v>0.28388194422849033</v>
      </c>
      <c r="F11" s="75">
        <f t="shared" ca="1" si="1"/>
        <v>0.27403837069461384</v>
      </c>
      <c r="G11" s="75">
        <f t="shared" ca="1" si="1"/>
        <v>0.17208905908242172</v>
      </c>
      <c r="H11" s="75">
        <f t="shared" ca="1" si="1"/>
        <v>0.47470116177888722</v>
      </c>
      <c r="I11" s="75">
        <f t="shared" ca="1" si="1"/>
        <v>9.8540651804925411E-2</v>
      </c>
      <c r="J11" s="75">
        <f t="shared" ca="1" si="1"/>
        <v>2.6159789050998729E-2</v>
      </c>
      <c r="K11" s="75">
        <f t="shared" ca="1" si="1"/>
        <v>0.45722080576223473</v>
      </c>
      <c r="L11" s="75">
        <f t="shared" ca="1" si="1"/>
        <v>0.66255387528013998</v>
      </c>
      <c r="M11" s="75">
        <f t="shared" ca="1" si="1"/>
        <v>0.56120533954845175</v>
      </c>
      <c r="N11" s="75">
        <f t="shared" ca="1" si="1"/>
        <v>0.34894299316555044</v>
      </c>
      <c r="O11" s="15"/>
      <c r="P11" s="15"/>
      <c r="Q11" s="15"/>
    </row>
    <row r="12" spans="1:17" x14ac:dyDescent="0.25">
      <c r="A12" s="3" t="s">
        <v>178</v>
      </c>
      <c r="B12" s="23" t="s">
        <v>66</v>
      </c>
      <c r="C12" s="75">
        <f ca="1">1-C11</f>
        <v>0.7392828159975473</v>
      </c>
      <c r="D12" s="75">
        <f ca="1">1-D11</f>
        <v>0.67935128259486954</v>
      </c>
      <c r="E12" s="76">
        <f ca="1">1-E11</f>
        <v>0.71611805577150967</v>
      </c>
      <c r="F12" s="76">
        <f t="shared" ref="F12:M12" ca="1" si="2">1-F11</f>
        <v>0.7259616293053861</v>
      </c>
      <c r="G12" s="76">
        <f t="shared" ca="1" si="2"/>
        <v>0.82791094091757822</v>
      </c>
      <c r="H12" s="76">
        <f t="shared" ca="1" si="2"/>
        <v>0.52529883822111278</v>
      </c>
      <c r="I12" s="76">
        <f t="shared" ca="1" si="2"/>
        <v>0.90145934819507456</v>
      </c>
      <c r="J12" s="76">
        <f t="shared" ca="1" si="2"/>
        <v>0.97384021094900131</v>
      </c>
      <c r="K12" s="76">
        <f t="shared" ca="1" si="2"/>
        <v>0.54277919423776533</v>
      </c>
      <c r="L12" s="76">
        <f t="shared" ca="1" si="2"/>
        <v>0.33744612471986002</v>
      </c>
      <c r="M12" s="76">
        <f t="shared" ca="1" si="2"/>
        <v>0.43879466045154825</v>
      </c>
      <c r="N12" s="76">
        <f t="shared" ref="N12" ca="1" si="3">1-N11</f>
        <v>0.65105700683444956</v>
      </c>
      <c r="O12" s="15"/>
      <c r="P12" s="15"/>
      <c r="Q12" s="15"/>
    </row>
    <row r="13" spans="1:17" x14ac:dyDescent="0.25">
      <c r="A13" s="3" t="s">
        <v>173</v>
      </c>
      <c r="B13" s="23" t="str">
        <f ca="1">INDIRECT(ADDRESS(HelpSheet!I20,HelpSheet!F31,1,1,"HelpSheet"))</f>
        <v>[EUR/kWh]</v>
      </c>
      <c r="C13" s="70">
        <f ca="1">C7/'Heating system'!D25</f>
        <v>0.15913674209346121</v>
      </c>
      <c r="D13" s="70">
        <f ca="1">D7/'DH system'!$D$8</f>
        <v>9.5679513184584175E-2</v>
      </c>
      <c r="E13" s="70">
        <f ca="1">E7/'Reference systems'!C$7</f>
        <v>9.6838886896385395E-2</v>
      </c>
      <c r="F13" s="70">
        <f ca="1">F7/'Reference systems'!D$7</f>
        <v>0.13596870801911251</v>
      </c>
      <c r="G13" s="70">
        <f ca="1">G7/'Reference systems'!E$7</f>
        <v>0.15520474403314546</v>
      </c>
      <c r="H13" s="70">
        <f ca="1">H7/'Reference systems'!F$7</f>
        <v>0.1255329821311354</v>
      </c>
      <c r="I13" s="70">
        <f ca="1">I7/'Reference systems'!G$7</f>
        <v>0.19230950792927151</v>
      </c>
      <c r="J13" s="70">
        <f ca="1">J7/'Reference systems'!H$7</f>
        <v>0.1686467997613276</v>
      </c>
      <c r="K13" s="70">
        <f ca="1">K7/'Reference systems'!I$7</f>
        <v>9.7691945071456357E-2</v>
      </c>
      <c r="L13" s="70">
        <f ca="1">L7/'Reference systems'!J$7</f>
        <v>0.13700708883726023</v>
      </c>
      <c r="M13" s="70">
        <f ca="1">M7/'Reference systems'!K$7</f>
        <v>0.11111638410073379</v>
      </c>
      <c r="N13" s="70">
        <f ca="1">N7/'Reference systems'!L$7</f>
        <v>9.4681008035087541E-2</v>
      </c>
      <c r="O13" s="15"/>
      <c r="P13" s="15"/>
      <c r="Q13" s="15"/>
    </row>
    <row r="14" spans="1:17" x14ac:dyDescent="0.25">
      <c r="A14" s="3" t="s">
        <v>205</v>
      </c>
      <c r="B14" s="23" t="s">
        <v>66</v>
      </c>
      <c r="C14" s="11">
        <f t="shared" ref="C14:M14" ca="1" si="4">C13/$D$13</f>
        <v>1.6632269207563362</v>
      </c>
      <c r="D14" s="11">
        <f t="shared" ca="1" si="4"/>
        <v>1</v>
      </c>
      <c r="E14" s="11">
        <f t="shared" ca="1" si="4"/>
        <v>1.0121172618172143</v>
      </c>
      <c r="F14" s="11">
        <f t="shared" ca="1" si="4"/>
        <v>1.4210848643930989</v>
      </c>
      <c r="G14" s="11">
        <f t="shared" ca="1" si="4"/>
        <v>1.6221314142111662</v>
      </c>
      <c r="H14" s="11">
        <f t="shared" ca="1" si="4"/>
        <v>1.3120152679807029</v>
      </c>
      <c r="I14" s="11">
        <f t="shared" ca="1" si="4"/>
        <v>2.0099340133375208</v>
      </c>
      <c r="J14" s="11">
        <f t="shared" ca="1" si="4"/>
        <v>1.7626218418981241</v>
      </c>
      <c r="K14" s="11">
        <f t="shared" ca="1" si="4"/>
        <v>1.0210330489766375</v>
      </c>
      <c r="L14" s="11">
        <f t="shared" ca="1" si="4"/>
        <v>1.4319375619412613</v>
      </c>
      <c r="M14" s="11">
        <f t="shared" ca="1" si="4"/>
        <v>1.1613393547098105</v>
      </c>
      <c r="N14" s="11">
        <f t="shared" ref="N14" ca="1" si="5">N13/$D$13</f>
        <v>0.98956406532325969</v>
      </c>
      <c r="O14" s="15"/>
      <c r="P14" s="15"/>
      <c r="Q14" s="15"/>
    </row>
    <row r="15" spans="1:17" x14ac:dyDescent="0.25">
      <c r="A15" s="22" t="s">
        <v>266</v>
      </c>
      <c r="B15" s="26" t="s">
        <v>249</v>
      </c>
      <c r="C15" s="145">
        <f ca="1">'Heating system'!D25/'Heating system'!D12*HelpSheet!F33/1000</f>
        <v>8.9899999999999984</v>
      </c>
      <c r="D15" s="145">
        <f ca="1">'DH system'!D8/'DH system'!D34*'DH system'!D31/1000</f>
        <v>1.4878260869565216</v>
      </c>
      <c r="E15" s="145">
        <f ca="1">'Reference systems'!C7/'Reference systems'!C22*'Reference systems'!C40/1000</f>
        <v>6.0885500000000006</v>
      </c>
      <c r="F15" s="145">
        <f ca="1">'Reference systems'!D7/'Reference systems'!D22*'Reference systems'!D40/1000</f>
        <v>7.6414999999999997</v>
      </c>
      <c r="G15" s="145">
        <f ca="1">'Reference systems'!E7/'Reference systems'!E22*'Reference systems'!E40/1000</f>
        <v>11.376923076923077</v>
      </c>
      <c r="H15" s="145">
        <f ca="1">'Reference systems'!F7/'Reference systems'!F22*'Reference systems'!F40/1000</f>
        <v>0.98599999999999999</v>
      </c>
      <c r="I15" s="145">
        <f ca="1">'Reference systems'!G7/'Reference systems'!G22*'Reference systems'!G40/1000</f>
        <v>4.9738222222222221</v>
      </c>
      <c r="J15" s="145">
        <f ca="1">'Reference systems'!H7/'Reference systems'!H22*'Reference systems'!H40/1000</f>
        <v>4.7120421052631585</v>
      </c>
      <c r="K15" s="145">
        <f ca="1">'Reference systems'!I7/'Reference systems'!I22*'Reference systems'!I40/1000</f>
        <v>0.2465</v>
      </c>
      <c r="L15" s="145">
        <f ca="1">'Reference systems'!J7/'Reference systems'!J22*'Reference systems'!J40/1000</f>
        <v>0.2465</v>
      </c>
      <c r="M15" s="145">
        <f ca="1">'Reference systems'!K7/'Reference systems'!K22*'Reference systems'!K40/1000</f>
        <v>1.3988875000000001</v>
      </c>
      <c r="N15" s="145">
        <f ca="1">'Reference systems'!L7/'Reference systems'!L22*'Reference systems'!L40/1000</f>
        <v>5.4120444444444438</v>
      </c>
      <c r="O15" s="15"/>
      <c r="P15" s="15"/>
      <c r="Q15" s="15"/>
    </row>
    <row r="16" spans="1:17" x14ac:dyDescent="0.25">
      <c r="A16" s="22" t="s">
        <v>267</v>
      </c>
      <c r="B16" s="26" t="s">
        <v>249</v>
      </c>
      <c r="C16" s="145">
        <f ca="1">$C$15-C15</f>
        <v>0</v>
      </c>
      <c r="D16" s="145">
        <f ca="1">$C$15-D15</f>
        <v>7.5021739130434764</v>
      </c>
      <c r="E16" s="145">
        <f t="shared" ref="E16:N16" ca="1" si="6">$C$15-E15</f>
        <v>2.9014499999999979</v>
      </c>
      <c r="F16" s="145">
        <f t="shared" ca="1" si="6"/>
        <v>1.3484999999999987</v>
      </c>
      <c r="G16" s="145">
        <f t="shared" ca="1" si="6"/>
        <v>-2.3869230769230789</v>
      </c>
      <c r="H16" s="145">
        <f t="shared" ca="1" si="6"/>
        <v>8.0039999999999978</v>
      </c>
      <c r="I16" s="145">
        <f t="shared" ca="1" si="6"/>
        <v>4.0161777777777763</v>
      </c>
      <c r="J16" s="145">
        <f t="shared" ca="1" si="6"/>
        <v>4.27795789473684</v>
      </c>
      <c r="K16" s="145">
        <f t="shared" ca="1" si="6"/>
        <v>8.7434999999999992</v>
      </c>
      <c r="L16" s="145">
        <f t="shared" ca="1" si="6"/>
        <v>8.7434999999999992</v>
      </c>
      <c r="M16" s="145">
        <f t="shared" ca="1" si="6"/>
        <v>7.5911124999999986</v>
      </c>
      <c r="N16" s="145">
        <f t="shared" ca="1" si="6"/>
        <v>3.5779555555555547</v>
      </c>
      <c r="O16" s="15"/>
      <c r="P16" s="15"/>
      <c r="Q16" s="15"/>
    </row>
    <row r="17" spans="1:17" x14ac:dyDescent="0.25">
      <c r="C17" s="1"/>
      <c r="F17" s="15"/>
      <c r="G17" s="15"/>
      <c r="H17" s="15"/>
      <c r="I17" s="15"/>
      <c r="J17" s="15"/>
      <c r="K17" s="15"/>
      <c r="L17" s="15"/>
      <c r="M17" s="15"/>
      <c r="N17" s="15"/>
      <c r="O17" s="15"/>
      <c r="P17" s="15"/>
      <c r="Q17" s="15"/>
    </row>
    <row r="18" spans="1:17" x14ac:dyDescent="0.25">
      <c r="F18" s="15"/>
      <c r="G18" s="15"/>
      <c r="H18" s="15"/>
      <c r="I18" s="15"/>
      <c r="J18" s="15"/>
      <c r="K18" s="15"/>
      <c r="L18" s="15"/>
      <c r="M18" s="15"/>
      <c r="N18" s="15"/>
      <c r="O18" s="15"/>
      <c r="P18" s="15"/>
      <c r="Q18" s="15"/>
    </row>
    <row r="27" spans="1:17" x14ac:dyDescent="0.25">
      <c r="A27" s="15"/>
      <c r="B27" s="15"/>
    </row>
    <row r="28" spans="1:17" x14ac:dyDescent="0.25">
      <c r="A28" s="15"/>
      <c r="B28" s="15"/>
    </row>
    <row r="29" spans="1:17" x14ac:dyDescent="0.25">
      <c r="A29" s="15"/>
      <c r="B29" s="15"/>
    </row>
    <row r="30" spans="1:17" x14ac:dyDescent="0.25">
      <c r="A30" s="15"/>
      <c r="B30" s="15"/>
    </row>
    <row r="31" spans="1:17" x14ac:dyDescent="0.25">
      <c r="A31" s="15"/>
      <c r="B31" s="15"/>
    </row>
    <row r="48" spans="4:5" x14ac:dyDescent="0.25">
      <c r="D48" s="15"/>
      <c r="E48" s="15"/>
    </row>
    <row r="49" spans="4:5" x14ac:dyDescent="0.25">
      <c r="D49" s="15"/>
      <c r="E49" s="15"/>
    </row>
    <row r="50" spans="4:5" x14ac:dyDescent="0.25">
      <c r="D50" s="15"/>
      <c r="E50" s="15"/>
    </row>
    <row r="51" spans="4:5" x14ac:dyDescent="0.25">
      <c r="D51" s="15"/>
      <c r="E51" s="15"/>
    </row>
    <row r="52" spans="4:5" x14ac:dyDescent="0.25">
      <c r="D52" s="15"/>
      <c r="E52" s="15"/>
    </row>
    <row r="53" spans="4:5" x14ac:dyDescent="0.25">
      <c r="D53" s="15"/>
      <c r="E53" s="15"/>
    </row>
    <row r="54" spans="4:5" x14ac:dyDescent="0.25">
      <c r="D54" s="15"/>
      <c r="E54" s="15"/>
    </row>
    <row r="55" spans="4:5" x14ac:dyDescent="0.25">
      <c r="D55" s="15"/>
      <c r="E55" s="15"/>
    </row>
    <row r="56" spans="4:5" x14ac:dyDescent="0.25">
      <c r="D56" s="15"/>
      <c r="E56" s="15"/>
    </row>
    <row r="57" spans="4:5" x14ac:dyDescent="0.25">
      <c r="D57" s="15"/>
      <c r="E57" s="15"/>
    </row>
  </sheetData>
  <sheetProtection sheet="1" objects="1" scenarios="1" formatCells="0" formatColumns="0"/>
  <mergeCells count="16">
    <mergeCell ref="B1:N2"/>
    <mergeCell ref="B5:B6"/>
    <mergeCell ref="A5:A6"/>
    <mergeCell ref="C5:C6"/>
    <mergeCell ref="D5:D6"/>
    <mergeCell ref="N5:N6"/>
    <mergeCell ref="E4:N4"/>
    <mergeCell ref="I5:I6"/>
    <mergeCell ref="J5:J6"/>
    <mergeCell ref="K5:K6"/>
    <mergeCell ref="L5:L6"/>
    <mergeCell ref="M5:M6"/>
    <mergeCell ref="E5:E6"/>
    <mergeCell ref="F5:F6"/>
    <mergeCell ref="G5:G6"/>
    <mergeCell ref="H5:H6"/>
  </mergeCells>
  <conditionalFormatting sqref="C7:N7">
    <cfRule type="colorScale" priority="6">
      <colorScale>
        <cfvo type="min"/>
        <cfvo type="percentile" val="50"/>
        <cfvo type="max"/>
        <color rgb="FF63BE7B"/>
        <color rgb="FFFFEB84"/>
        <color rgb="FFF8696B"/>
      </colorScale>
    </cfRule>
  </conditionalFormatting>
  <conditionalFormatting sqref="C10:N10">
    <cfRule type="colorScale" priority="5">
      <colorScale>
        <cfvo type="min"/>
        <cfvo type="percentile" val="50"/>
        <cfvo type="max"/>
        <color rgb="FF63BE7B"/>
        <color rgb="FFFFEB84"/>
        <color rgb="FFF8696B"/>
      </colorScale>
    </cfRule>
  </conditionalFormatting>
  <conditionalFormatting sqref="C9:N9">
    <cfRule type="colorScale" priority="4">
      <colorScale>
        <cfvo type="min"/>
        <cfvo type="percentile" val="50"/>
        <cfvo type="max"/>
        <color rgb="FF63BE7B"/>
        <color rgb="FFFFEB84"/>
        <color rgb="FFF8696B"/>
      </colorScale>
    </cfRule>
  </conditionalFormatting>
  <conditionalFormatting sqref="C8:N8">
    <cfRule type="colorScale" priority="3">
      <colorScale>
        <cfvo type="min"/>
        <cfvo type="percentile" val="50"/>
        <cfvo type="max"/>
        <color rgb="FF63BE7B"/>
        <color rgb="FFFFEB84"/>
        <color rgb="FFF8696B"/>
      </colorScale>
    </cfRule>
  </conditionalFormatting>
  <conditionalFormatting sqref="C13:N13">
    <cfRule type="colorScale" priority="2">
      <colorScale>
        <cfvo type="min"/>
        <cfvo type="percentile" val="50"/>
        <cfvo type="max"/>
        <color rgb="FF63BE7B"/>
        <color rgb="FFFFEB84"/>
        <color rgb="FFF8696B"/>
      </colorScale>
    </cfRule>
  </conditionalFormatting>
  <conditionalFormatting sqref="C14:N14">
    <cfRule type="colorScale" priority="1">
      <colorScale>
        <cfvo type="min"/>
        <cfvo type="percentile" val="50"/>
        <cfvo type="max"/>
        <color rgb="FF63BE7B"/>
        <color rgb="FFFFEB84"/>
        <color rgb="FFF8696B"/>
      </colorScale>
    </cfRule>
  </conditionalFormatting>
  <pageMargins left="0.78740157480314965" right="0.70866141732283472" top="0.69" bottom="0.31496062992125984" header="0.31496062992125984" footer="0.31496062992125984"/>
  <pageSetup paperSize="9" scale="6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A140"/>
  <sheetViews>
    <sheetView topLeftCell="A16" workbookViewId="0">
      <selection activeCell="E19" sqref="E19"/>
    </sheetView>
  </sheetViews>
  <sheetFormatPr baseColWidth="10" defaultRowHeight="15" x14ac:dyDescent="0.25"/>
  <cols>
    <col min="1" max="1" width="17.28515625" bestFit="1" customWidth="1"/>
    <col min="2" max="2" width="42" customWidth="1"/>
    <col min="3" max="3" width="22" bestFit="1" customWidth="1"/>
    <col min="4" max="4" width="16" customWidth="1"/>
    <col min="5" max="5" width="24.28515625" bestFit="1" customWidth="1"/>
    <col min="6" max="6" width="20.140625" bestFit="1" customWidth="1"/>
    <col min="7" max="7" width="20" bestFit="1" customWidth="1"/>
    <col min="8" max="8" width="20.5703125" bestFit="1" customWidth="1"/>
    <col min="9" max="9" width="16.28515625" bestFit="1" customWidth="1"/>
    <col min="10" max="10" width="13.42578125" bestFit="1" customWidth="1"/>
    <col min="11" max="11" width="14.28515625" bestFit="1" customWidth="1"/>
    <col min="12" max="12" width="11" bestFit="1" customWidth="1"/>
    <col min="13" max="13" width="15" bestFit="1" customWidth="1"/>
    <col min="14" max="14" width="23.42578125" bestFit="1" customWidth="1"/>
    <col min="15" max="15" width="19.42578125" bestFit="1" customWidth="1"/>
    <col min="16" max="16" width="19.140625" bestFit="1" customWidth="1"/>
    <col min="17" max="19" width="13.42578125" bestFit="1" customWidth="1"/>
    <col min="20" max="20" width="12.5703125" customWidth="1"/>
    <col min="21" max="22" width="12.140625" bestFit="1" customWidth="1"/>
    <col min="23" max="23" width="14.140625" bestFit="1" customWidth="1"/>
    <col min="24" max="24" width="13.42578125" bestFit="1" customWidth="1"/>
    <col min="25" max="25" width="14.28515625" bestFit="1" customWidth="1"/>
    <col min="26" max="26" width="12.140625" bestFit="1" customWidth="1"/>
  </cols>
  <sheetData>
    <row r="2" spans="2:16" ht="21" x14ac:dyDescent="0.35">
      <c r="B2" s="5" t="s">
        <v>10</v>
      </c>
    </row>
    <row r="3" spans="2:16" x14ac:dyDescent="0.25">
      <c r="O3" s="15"/>
      <c r="P3" s="15"/>
    </row>
    <row r="4" spans="2:16" x14ac:dyDescent="0.25">
      <c r="E4">
        <f>COLUMN()</f>
        <v>5</v>
      </c>
      <c r="F4" s="15">
        <f>COLUMN()</f>
        <v>6</v>
      </c>
      <c r="G4" s="15">
        <f>COLUMN()</f>
        <v>7</v>
      </c>
      <c r="H4" s="15">
        <f>COLUMN()</f>
        <v>8</v>
      </c>
      <c r="J4" s="42">
        <f>COLUMN()</f>
        <v>10</v>
      </c>
      <c r="K4" s="42">
        <f>COLUMN()</f>
        <v>11</v>
      </c>
      <c r="L4" s="42">
        <f>COLUMN()</f>
        <v>12</v>
      </c>
      <c r="M4" s="42">
        <f>COLUMN()</f>
        <v>13</v>
      </c>
      <c r="N4" s="42">
        <f>COLUMN()</f>
        <v>14</v>
      </c>
      <c r="O4" s="15"/>
      <c r="P4" s="15"/>
    </row>
    <row r="5" spans="2:16" x14ac:dyDescent="0.25">
      <c r="B5">
        <f>ROW()</f>
        <v>5</v>
      </c>
      <c r="C5" t="s">
        <v>9</v>
      </c>
      <c r="E5" s="32" t="s">
        <v>38</v>
      </c>
      <c r="F5" s="32" t="s">
        <v>42</v>
      </c>
      <c r="G5" s="3" t="s">
        <v>39</v>
      </c>
      <c r="H5" s="32" t="s">
        <v>44</v>
      </c>
      <c r="I5">
        <f>ROW()</f>
        <v>5</v>
      </c>
      <c r="J5" s="32" t="s">
        <v>38</v>
      </c>
      <c r="K5" s="32" t="s">
        <v>42</v>
      </c>
      <c r="L5" s="3" t="s">
        <v>39</v>
      </c>
      <c r="M5" s="32" t="s">
        <v>44</v>
      </c>
      <c r="O5" s="15"/>
      <c r="P5" s="15"/>
    </row>
    <row r="6" spans="2:16" x14ac:dyDescent="0.25">
      <c r="B6" s="15">
        <f>ROW()</f>
        <v>6</v>
      </c>
      <c r="C6" s="115" t="s">
        <v>232</v>
      </c>
      <c r="D6" s="3" t="s">
        <v>76</v>
      </c>
      <c r="E6" s="3" t="s">
        <v>80</v>
      </c>
      <c r="F6" s="3" t="s">
        <v>88</v>
      </c>
      <c r="G6" s="3" t="s">
        <v>92</v>
      </c>
      <c r="H6" s="3" t="s">
        <v>96</v>
      </c>
      <c r="I6" s="15">
        <f>ROW()</f>
        <v>6</v>
      </c>
      <c r="J6" s="3" t="s">
        <v>123</v>
      </c>
      <c r="K6" s="3" t="s">
        <v>124</v>
      </c>
      <c r="L6" s="3" t="s">
        <v>125</v>
      </c>
      <c r="M6" s="3" t="s">
        <v>126</v>
      </c>
      <c r="N6" s="3" t="s">
        <v>160</v>
      </c>
      <c r="O6" s="15"/>
      <c r="P6" s="15"/>
    </row>
    <row r="7" spans="2:16" x14ac:dyDescent="0.25">
      <c r="B7" s="15">
        <f>ROW()</f>
        <v>7</v>
      </c>
      <c r="C7" s="3" t="s">
        <v>1</v>
      </c>
      <c r="D7" s="3" t="s">
        <v>64</v>
      </c>
      <c r="E7" s="3" t="s">
        <v>81</v>
      </c>
      <c r="F7" s="3" t="s">
        <v>89</v>
      </c>
      <c r="G7" s="3" t="s">
        <v>93</v>
      </c>
      <c r="H7" s="3" t="s">
        <v>97</v>
      </c>
      <c r="I7" s="15">
        <f>ROW()</f>
        <v>7</v>
      </c>
      <c r="J7" s="9" t="s">
        <v>157</v>
      </c>
      <c r="K7" s="9" t="s">
        <v>174</v>
      </c>
      <c r="L7" s="9" t="s">
        <v>175</v>
      </c>
      <c r="M7" s="9" t="s">
        <v>176</v>
      </c>
      <c r="N7" s="3" t="s">
        <v>161</v>
      </c>
      <c r="O7" s="15"/>
      <c r="P7" s="15"/>
    </row>
    <row r="8" spans="2:16" x14ac:dyDescent="0.25">
      <c r="B8" s="15">
        <f>ROW()</f>
        <v>8</v>
      </c>
      <c r="C8" s="3" t="s">
        <v>18</v>
      </c>
      <c r="D8" s="3" t="s">
        <v>78</v>
      </c>
      <c r="E8" s="3" t="s">
        <v>83</v>
      </c>
      <c r="F8" s="3" t="s">
        <v>90</v>
      </c>
      <c r="G8" s="3" t="s">
        <v>94</v>
      </c>
      <c r="H8" s="3" t="s">
        <v>98</v>
      </c>
      <c r="I8" s="15">
        <f>ROW()</f>
        <v>8</v>
      </c>
      <c r="J8" s="3" t="s">
        <v>82</v>
      </c>
      <c r="K8" s="3" t="s">
        <v>100</v>
      </c>
      <c r="L8" s="3" t="s">
        <v>101</v>
      </c>
      <c r="M8" s="3" t="s">
        <v>102</v>
      </c>
      <c r="N8" s="3" t="s">
        <v>162</v>
      </c>
      <c r="O8" s="15"/>
      <c r="P8" s="15"/>
    </row>
    <row r="9" spans="2:16" ht="18" x14ac:dyDescent="0.35">
      <c r="B9" s="15">
        <f>ROW()</f>
        <v>9</v>
      </c>
      <c r="C9" s="3" t="s">
        <v>5</v>
      </c>
      <c r="D9" s="3" t="s">
        <v>77</v>
      </c>
      <c r="E9" s="3" t="s">
        <v>84</v>
      </c>
      <c r="F9" s="3" t="s">
        <v>91</v>
      </c>
      <c r="G9" s="3" t="s">
        <v>95</v>
      </c>
      <c r="H9" s="3" t="s">
        <v>99</v>
      </c>
      <c r="I9" s="15">
        <f>ROW()</f>
        <v>9</v>
      </c>
      <c r="J9" s="40" t="s">
        <v>108</v>
      </c>
      <c r="K9" s="40" t="s">
        <v>111</v>
      </c>
      <c r="L9" s="40" t="s">
        <v>110</v>
      </c>
      <c r="M9" s="40" t="s">
        <v>109</v>
      </c>
      <c r="N9" s="40" t="s">
        <v>163</v>
      </c>
      <c r="O9" s="15"/>
      <c r="P9" s="15"/>
    </row>
    <row r="10" spans="2:16" x14ac:dyDescent="0.25">
      <c r="B10" s="15">
        <f>ROW()</f>
        <v>10</v>
      </c>
      <c r="C10" s="3" t="s">
        <v>25</v>
      </c>
      <c r="D10" s="3" t="s">
        <v>78</v>
      </c>
      <c r="E10" s="3" t="s">
        <v>83</v>
      </c>
      <c r="F10" s="3" t="s">
        <v>90</v>
      </c>
      <c r="G10" s="3" t="s">
        <v>94</v>
      </c>
      <c r="H10" s="3" t="s">
        <v>98</v>
      </c>
      <c r="I10" s="15">
        <f>ROW()</f>
        <v>10</v>
      </c>
      <c r="J10" s="41" t="s">
        <v>108</v>
      </c>
      <c r="K10" s="41" t="s">
        <v>111</v>
      </c>
      <c r="L10" s="41" t="s">
        <v>110</v>
      </c>
      <c r="M10" s="41" t="s">
        <v>109</v>
      </c>
      <c r="N10" s="41" t="s">
        <v>164</v>
      </c>
      <c r="O10" s="15"/>
      <c r="P10" s="15"/>
    </row>
    <row r="11" spans="2:16" x14ac:dyDescent="0.25">
      <c r="B11" s="15">
        <f>ROW()</f>
        <v>11</v>
      </c>
      <c r="C11" s="3" t="s">
        <v>295</v>
      </c>
      <c r="D11" s="3" t="s">
        <v>221</v>
      </c>
      <c r="E11" s="3" t="s">
        <v>220</v>
      </c>
      <c r="F11" s="3" t="s">
        <v>222</v>
      </c>
      <c r="G11" s="3" t="s">
        <v>223</v>
      </c>
      <c r="H11" s="3" t="s">
        <v>224</v>
      </c>
      <c r="I11" s="15">
        <f>ROW()</f>
        <v>11</v>
      </c>
      <c r="J11" s="9" t="s">
        <v>108</v>
      </c>
      <c r="K11" s="9" t="s">
        <v>111</v>
      </c>
      <c r="L11" s="9" t="s">
        <v>110</v>
      </c>
      <c r="M11" s="9" t="s">
        <v>109</v>
      </c>
      <c r="N11" s="9" t="s">
        <v>113</v>
      </c>
      <c r="O11" s="15"/>
      <c r="P11" s="15"/>
    </row>
    <row r="12" spans="2:16" x14ac:dyDescent="0.25">
      <c r="B12" s="15">
        <f>ROW()</f>
        <v>12</v>
      </c>
      <c r="C12" s="3" t="s">
        <v>296</v>
      </c>
      <c r="D12" s="3" t="s">
        <v>221</v>
      </c>
      <c r="E12" s="3" t="s">
        <v>220</v>
      </c>
      <c r="F12" s="3" t="s">
        <v>222</v>
      </c>
      <c r="G12" s="3" t="s">
        <v>223</v>
      </c>
      <c r="H12" s="3" t="s">
        <v>224</v>
      </c>
      <c r="I12" s="15">
        <f>ROW()</f>
        <v>12</v>
      </c>
      <c r="J12" s="40" t="s">
        <v>123</v>
      </c>
      <c r="K12" s="40" t="s">
        <v>124</v>
      </c>
      <c r="L12" s="40" t="s">
        <v>125</v>
      </c>
      <c r="M12" s="40" t="s">
        <v>126</v>
      </c>
      <c r="N12" s="40" t="s">
        <v>165</v>
      </c>
      <c r="O12" s="15"/>
      <c r="P12" s="15"/>
    </row>
    <row r="13" spans="2:16" x14ac:dyDescent="0.25">
      <c r="B13" s="15">
        <f>ROW()</f>
        <v>13</v>
      </c>
      <c r="C13" s="22" t="s">
        <v>242</v>
      </c>
      <c r="D13" s="22" t="s">
        <v>58</v>
      </c>
      <c r="E13" s="3" t="s">
        <v>82</v>
      </c>
      <c r="F13" s="3" t="s">
        <v>100</v>
      </c>
      <c r="G13" s="3" t="s">
        <v>101</v>
      </c>
      <c r="H13" s="3" t="s">
        <v>102</v>
      </c>
      <c r="I13" s="15">
        <f>ROW()</f>
        <v>13</v>
      </c>
      <c r="J13" s="9" t="s">
        <v>123</v>
      </c>
      <c r="K13" s="9" t="s">
        <v>124</v>
      </c>
      <c r="L13" s="9" t="s">
        <v>125</v>
      </c>
      <c r="M13" s="9" t="s">
        <v>126</v>
      </c>
      <c r="N13" s="9" t="s">
        <v>166</v>
      </c>
      <c r="O13" s="15"/>
      <c r="P13" s="15"/>
    </row>
    <row r="14" spans="2:16" x14ac:dyDescent="0.25">
      <c r="B14" s="15">
        <f>ROW()</f>
        <v>14</v>
      </c>
      <c r="D14" s="22" t="s">
        <v>156</v>
      </c>
      <c r="E14" s="22" t="s">
        <v>103</v>
      </c>
      <c r="F14" s="22" t="s">
        <v>104</v>
      </c>
      <c r="G14" s="22" t="s">
        <v>105</v>
      </c>
      <c r="H14" s="22" t="s">
        <v>106</v>
      </c>
      <c r="I14" s="15">
        <f>ROW()</f>
        <v>14</v>
      </c>
      <c r="J14" s="9" t="s">
        <v>157</v>
      </c>
      <c r="K14" s="9" t="s">
        <v>174</v>
      </c>
      <c r="L14" s="9" t="s">
        <v>175</v>
      </c>
      <c r="M14" s="9" t="s">
        <v>176</v>
      </c>
      <c r="N14" s="9" t="s">
        <v>167</v>
      </c>
      <c r="O14" s="15"/>
      <c r="P14" s="15"/>
    </row>
    <row r="15" spans="2:16" x14ac:dyDescent="0.25">
      <c r="B15">
        <v>15</v>
      </c>
      <c r="E15" s="22" t="s">
        <v>108</v>
      </c>
      <c r="F15" s="22" t="s">
        <v>111</v>
      </c>
      <c r="G15" s="22" t="s">
        <v>110</v>
      </c>
      <c r="H15" s="22" t="s">
        <v>109</v>
      </c>
      <c r="I15" s="15">
        <f>ROW()</f>
        <v>15</v>
      </c>
      <c r="J15" s="9" t="s">
        <v>123</v>
      </c>
      <c r="K15" s="9" t="s">
        <v>124</v>
      </c>
      <c r="L15" s="9" t="s">
        <v>125</v>
      </c>
      <c r="M15" s="9" t="s">
        <v>126</v>
      </c>
      <c r="N15" s="9" t="s">
        <v>168</v>
      </c>
      <c r="O15" s="15"/>
      <c r="P15" s="15"/>
    </row>
    <row r="16" spans="2:16" x14ac:dyDescent="0.25">
      <c r="B16" s="15">
        <f>ROW()</f>
        <v>16</v>
      </c>
      <c r="E16" s="22" t="s">
        <v>123</v>
      </c>
      <c r="F16" s="22" t="s">
        <v>124</v>
      </c>
      <c r="G16" s="22" t="s">
        <v>125</v>
      </c>
      <c r="H16" s="22" t="s">
        <v>126</v>
      </c>
      <c r="I16" s="15">
        <f>ROW()</f>
        <v>16</v>
      </c>
      <c r="J16" s="9" t="s">
        <v>123</v>
      </c>
      <c r="K16" s="9" t="s">
        <v>124</v>
      </c>
      <c r="L16" s="9" t="s">
        <v>125</v>
      </c>
      <c r="M16" s="9" t="s">
        <v>126</v>
      </c>
      <c r="N16" s="9" t="s">
        <v>169</v>
      </c>
      <c r="O16" s="15"/>
      <c r="P16" s="15"/>
    </row>
    <row r="17" spans="2:16" x14ac:dyDescent="0.25">
      <c r="B17" s="15">
        <f>ROW()</f>
        <v>17</v>
      </c>
      <c r="I17" s="15">
        <f>ROW()</f>
        <v>17</v>
      </c>
      <c r="J17" s="9" t="s">
        <v>123</v>
      </c>
      <c r="K17" s="9" t="s">
        <v>124</v>
      </c>
      <c r="L17" s="9" t="s">
        <v>125</v>
      </c>
      <c r="M17" s="9" t="s">
        <v>126</v>
      </c>
      <c r="N17" s="9" t="s">
        <v>170</v>
      </c>
      <c r="O17" s="15"/>
      <c r="P17" s="15"/>
    </row>
    <row r="18" spans="2:16" x14ac:dyDescent="0.25">
      <c r="B18" s="15">
        <v>16</v>
      </c>
      <c r="I18" s="15">
        <f>ROW()</f>
        <v>18</v>
      </c>
      <c r="J18" s="41" t="s">
        <v>123</v>
      </c>
      <c r="K18" s="41" t="s">
        <v>124</v>
      </c>
      <c r="L18" s="41" t="s">
        <v>125</v>
      </c>
      <c r="M18" s="41" t="s">
        <v>126</v>
      </c>
      <c r="N18" s="41" t="s">
        <v>171</v>
      </c>
      <c r="O18" s="15"/>
      <c r="P18" s="15"/>
    </row>
    <row r="19" spans="2:16" x14ac:dyDescent="0.25">
      <c r="B19" s="15">
        <f>ROW()</f>
        <v>19</v>
      </c>
      <c r="I19" s="15">
        <f>ROW()</f>
        <v>19</v>
      </c>
      <c r="J19" s="41" t="s">
        <v>123</v>
      </c>
      <c r="K19" s="41" t="s">
        <v>124</v>
      </c>
      <c r="L19" s="41" t="s">
        <v>125</v>
      </c>
      <c r="M19" s="41" t="s">
        <v>126</v>
      </c>
      <c r="N19" s="41" t="s">
        <v>172</v>
      </c>
      <c r="O19" s="15"/>
      <c r="P19" s="15"/>
    </row>
    <row r="20" spans="2:16" x14ac:dyDescent="0.25">
      <c r="B20" s="15">
        <f>ROW()</f>
        <v>20</v>
      </c>
      <c r="I20" s="15">
        <f>ROW()</f>
        <v>20</v>
      </c>
      <c r="J20" s="9" t="s">
        <v>82</v>
      </c>
      <c r="K20" s="9" t="s">
        <v>100</v>
      </c>
      <c r="L20" s="9" t="s">
        <v>101</v>
      </c>
      <c r="M20" s="9" t="s">
        <v>102</v>
      </c>
      <c r="N20" s="9" t="s">
        <v>173</v>
      </c>
      <c r="O20" s="15"/>
      <c r="P20" s="15"/>
    </row>
    <row r="21" spans="2:16" x14ac:dyDescent="0.25">
      <c r="I21" s="15"/>
      <c r="J21" s="15"/>
    </row>
    <row r="22" spans="2:16" x14ac:dyDescent="0.25">
      <c r="I22" s="15"/>
    </row>
    <row r="23" spans="2:16" x14ac:dyDescent="0.25">
      <c r="B23" s="3" t="s">
        <v>20</v>
      </c>
      <c r="C23" s="23">
        <v>4</v>
      </c>
    </row>
    <row r="24" spans="2:16" x14ac:dyDescent="0.25">
      <c r="B24" s="23" t="s">
        <v>17</v>
      </c>
      <c r="C24" s="23">
        <v>6</v>
      </c>
      <c r="E24" s="3" t="s">
        <v>87</v>
      </c>
      <c r="F24" s="3">
        <f>E4</f>
        <v>5</v>
      </c>
    </row>
    <row r="25" spans="2:16" x14ac:dyDescent="0.25">
      <c r="B25" s="23" t="s">
        <v>15</v>
      </c>
      <c r="C25" s="23" t="str">
        <f>'Heating system'!D9</f>
        <v>Oil</v>
      </c>
      <c r="E25" s="23" t="s">
        <v>85</v>
      </c>
      <c r="F25" s="23" t="str">
        <f>'Boundary conditions'!H2</f>
        <v>EUR</v>
      </c>
    </row>
    <row r="26" spans="2:16" x14ac:dyDescent="0.25">
      <c r="B26" s="23" t="s">
        <v>16</v>
      </c>
      <c r="C26" s="23">
        <f>MATCH('Heating system'!D9,HelpSheet!C6:C13,0)+(C24-1)</f>
        <v>7</v>
      </c>
      <c r="E26" s="3" t="s">
        <v>86</v>
      </c>
      <c r="F26" s="3">
        <f>MATCH(F25,HelpSheet!E5:H5,0)+F24-1</f>
        <v>5</v>
      </c>
    </row>
    <row r="28" spans="2:16" x14ac:dyDescent="0.25">
      <c r="B28" s="23" t="s">
        <v>147</v>
      </c>
      <c r="C28" s="3">
        <v>4</v>
      </c>
      <c r="F28" t="str">
        <f ca="1">INDIRECT(ADDRESS(B14,F26,1,1,"HelpSheet"))</f>
        <v>Fuel price [EUR/kWh]</v>
      </c>
    </row>
    <row r="29" spans="2:16" x14ac:dyDescent="0.25">
      <c r="B29" s="23" t="s">
        <v>19</v>
      </c>
      <c r="C29" s="3">
        <v>6</v>
      </c>
    </row>
    <row r="30" spans="2:16" x14ac:dyDescent="0.25">
      <c r="B30" s="23" t="s">
        <v>146</v>
      </c>
      <c r="C30" s="3">
        <f>MATCH('Heating system'!D9,'Boundary conditions'!B6:B49,0)+(C29-1)</f>
        <v>30</v>
      </c>
      <c r="E30" s="3" t="s">
        <v>87</v>
      </c>
      <c r="F30" s="3">
        <f>J4</f>
        <v>10</v>
      </c>
    </row>
    <row r="31" spans="2:16" x14ac:dyDescent="0.25">
      <c r="B31" s="23" t="s">
        <v>152</v>
      </c>
      <c r="C31" s="3">
        <f>MATCH('Heating system'!D9,'Boundary conditions'!B6:B49,0)+(C29+3)</f>
        <v>34</v>
      </c>
      <c r="E31" s="3" t="s">
        <v>127</v>
      </c>
      <c r="F31" s="3">
        <f>MATCH(F25,HelpSheet!J5:M5,0)+F30-1</f>
        <v>10</v>
      </c>
    </row>
    <row r="33" spans="2:25" x14ac:dyDescent="0.25">
      <c r="B33" s="26" t="s">
        <v>27</v>
      </c>
      <c r="E33" s="3" t="s">
        <v>253</v>
      </c>
      <c r="F33" s="3">
        <f ca="1">INDIRECT(ADDRESS(HelpSheet!F34,HelpSheet!C28,1,1,"Boundary conditions"))</f>
        <v>0.31</v>
      </c>
    </row>
    <row r="34" spans="2:25" x14ac:dyDescent="0.25">
      <c r="B34" s="26" t="s">
        <v>28</v>
      </c>
      <c r="E34" s="22" t="s">
        <v>250</v>
      </c>
      <c r="F34" s="3">
        <f>MATCH('Heating system'!D9,'Boundary conditions'!B6:B49,0)+(C29+4)</f>
        <v>35</v>
      </c>
    </row>
    <row r="35" spans="2:25" x14ac:dyDescent="0.25">
      <c r="I35" s="15"/>
    </row>
    <row r="36" spans="2:25" x14ac:dyDescent="0.25">
      <c r="I36" s="15"/>
      <c r="W36" s="15"/>
      <c r="X36" s="15"/>
      <c r="Y36" s="15"/>
    </row>
    <row r="37" spans="2:25" x14ac:dyDescent="0.25">
      <c r="B37" s="30" t="s">
        <v>30</v>
      </c>
      <c r="W37" s="15"/>
      <c r="Y37" s="15"/>
    </row>
    <row r="38" spans="2:25" x14ac:dyDescent="0.25">
      <c r="B38" s="8" t="s">
        <v>33</v>
      </c>
      <c r="C38" s="23">
        <v>1</v>
      </c>
      <c r="D38" s="23">
        <v>2</v>
      </c>
      <c r="E38" s="23">
        <v>3</v>
      </c>
      <c r="F38" s="23">
        <v>4</v>
      </c>
      <c r="G38" s="23">
        <v>5</v>
      </c>
      <c r="H38" s="23">
        <v>6</v>
      </c>
      <c r="I38" s="23">
        <v>7</v>
      </c>
      <c r="J38" s="23">
        <v>8</v>
      </c>
      <c r="K38" s="23">
        <v>9</v>
      </c>
      <c r="L38" s="23">
        <v>10</v>
      </c>
      <c r="M38" s="23">
        <v>11</v>
      </c>
      <c r="N38" s="23">
        <v>12</v>
      </c>
      <c r="O38" s="23">
        <v>13</v>
      </c>
      <c r="P38" s="23">
        <v>14</v>
      </c>
      <c r="Q38" s="23">
        <v>15</v>
      </c>
      <c r="R38" s="23">
        <v>16</v>
      </c>
      <c r="S38" s="23">
        <v>17</v>
      </c>
      <c r="T38" s="23">
        <v>18</v>
      </c>
      <c r="U38" s="23">
        <v>19</v>
      </c>
      <c r="V38" s="23">
        <v>20</v>
      </c>
      <c r="W38" s="15"/>
      <c r="Y38" s="15"/>
    </row>
    <row r="39" spans="2:25" x14ac:dyDescent="0.25">
      <c r="B39" s="9" t="s">
        <v>34</v>
      </c>
      <c r="C39" s="27">
        <v>2020</v>
      </c>
      <c r="D39" s="27">
        <f>C39+1</f>
        <v>2021</v>
      </c>
      <c r="E39" s="27">
        <f t="shared" ref="E39:V39" si="0">D39+1</f>
        <v>2022</v>
      </c>
      <c r="F39" s="27">
        <f t="shared" si="0"/>
        <v>2023</v>
      </c>
      <c r="G39" s="27">
        <f t="shared" si="0"/>
        <v>2024</v>
      </c>
      <c r="H39" s="27">
        <f t="shared" si="0"/>
        <v>2025</v>
      </c>
      <c r="I39" s="27">
        <f t="shared" si="0"/>
        <v>2026</v>
      </c>
      <c r="J39" s="27">
        <f t="shared" si="0"/>
        <v>2027</v>
      </c>
      <c r="K39" s="27">
        <f t="shared" si="0"/>
        <v>2028</v>
      </c>
      <c r="L39" s="27">
        <f t="shared" si="0"/>
        <v>2029</v>
      </c>
      <c r="M39" s="27">
        <f t="shared" si="0"/>
        <v>2030</v>
      </c>
      <c r="N39" s="27">
        <f t="shared" si="0"/>
        <v>2031</v>
      </c>
      <c r="O39" s="27">
        <f t="shared" si="0"/>
        <v>2032</v>
      </c>
      <c r="P39" s="27">
        <f t="shared" si="0"/>
        <v>2033</v>
      </c>
      <c r="Q39" s="27">
        <f t="shared" si="0"/>
        <v>2034</v>
      </c>
      <c r="R39" s="27">
        <f t="shared" si="0"/>
        <v>2035</v>
      </c>
      <c r="S39" s="27">
        <f t="shared" si="0"/>
        <v>2036</v>
      </c>
      <c r="T39" s="27">
        <f t="shared" si="0"/>
        <v>2037</v>
      </c>
      <c r="U39" s="27">
        <f t="shared" si="0"/>
        <v>2038</v>
      </c>
      <c r="V39" s="27">
        <f t="shared" si="0"/>
        <v>2039</v>
      </c>
      <c r="W39" s="15"/>
      <c r="X39" s="23" t="s">
        <v>32</v>
      </c>
      <c r="Y39" s="23" t="s">
        <v>31</v>
      </c>
    </row>
    <row r="40" spans="2:25" x14ac:dyDescent="0.25">
      <c r="B40" s="31" t="s">
        <v>18</v>
      </c>
      <c r="C40" s="28">
        <f>'Boundary conditions'!D9</f>
        <v>4.791666666666667E-2</v>
      </c>
      <c r="D40" s="28">
        <f>C40*(1+'Boundary conditions'!$D$8)</f>
        <v>4.8395833333333339E-2</v>
      </c>
      <c r="E40" s="28">
        <f>D40*(1+'Boundary conditions'!$D$8)</f>
        <v>4.8879791666666672E-2</v>
      </c>
      <c r="F40" s="28">
        <f>E40*(1+'Boundary conditions'!$D$8)</f>
        <v>4.9368589583333337E-2</v>
      </c>
      <c r="G40" s="28">
        <f>F40*(1+'Boundary conditions'!$D$8)</f>
        <v>4.9862275479166669E-2</v>
      </c>
      <c r="H40" s="28">
        <f>G40*(1+'Boundary conditions'!$D$8)</f>
        <v>5.0360898233958333E-2</v>
      </c>
      <c r="I40" s="28">
        <f>H40*(1+'Boundary conditions'!$D$8)</f>
        <v>5.0864507216297913E-2</v>
      </c>
      <c r="J40" s="28">
        <f>I40*(1+'Boundary conditions'!$D$8)</f>
        <v>5.1373152288460892E-2</v>
      </c>
      <c r="K40" s="28">
        <f>J40*(1+'Boundary conditions'!$D$8)</f>
        <v>5.1886883811345499E-2</v>
      </c>
      <c r="L40" s="28">
        <f>K40*(1+'Boundary conditions'!$D$8)</f>
        <v>5.2405752649458952E-2</v>
      </c>
      <c r="M40" s="28">
        <f>L40*(1+'Boundary conditions'!$D$8)</f>
        <v>5.2929810175953544E-2</v>
      </c>
      <c r="N40" s="28">
        <f>M40*(1+'Boundary conditions'!$D$8)</f>
        <v>5.345910827771308E-2</v>
      </c>
      <c r="O40" s="28">
        <f>N40*(1+'Boundary conditions'!$D$8)</f>
        <v>5.3993699360490213E-2</v>
      </c>
      <c r="P40" s="28">
        <f>O40*(1+'Boundary conditions'!$D$8)</f>
        <v>5.4533636354095118E-2</v>
      </c>
      <c r="Q40" s="28">
        <f>P40*(1+'Boundary conditions'!$D$8)</f>
        <v>5.5078972717636072E-2</v>
      </c>
      <c r="R40" s="28">
        <f>Q40*(1+'Boundary conditions'!$D$8)</f>
        <v>5.5629762444812436E-2</v>
      </c>
      <c r="S40" s="28">
        <f>R40*(1+'Boundary conditions'!$D$8)</f>
        <v>5.6186060069260559E-2</v>
      </c>
      <c r="T40" s="28">
        <f>S40*(1+'Boundary conditions'!$D$8)</f>
        <v>5.6747920669953163E-2</v>
      </c>
      <c r="U40" s="28">
        <f>T40*(1+'Boundary conditions'!$D$8)</f>
        <v>5.7315399876652698E-2</v>
      </c>
      <c r="V40" s="28">
        <f>U40*(1+'Boundary conditions'!$D$8)</f>
        <v>5.7888553875419226E-2</v>
      </c>
      <c r="W40" s="15"/>
      <c r="X40" s="29">
        <f>AVERAGE(C40:L40)</f>
        <v>5.0131435092868826E-2</v>
      </c>
      <c r="Y40" s="29">
        <f t="shared" ref="Y40:Y46" si="1">AVERAGE(C40:V40)</f>
        <v>5.2753863737533713E-2</v>
      </c>
    </row>
    <row r="41" spans="2:25" x14ac:dyDescent="0.25">
      <c r="B41" s="31" t="s">
        <v>29</v>
      </c>
      <c r="C41" s="28">
        <f>'Boundary conditions'!D15</f>
        <v>3.8530465949820791E-2</v>
      </c>
      <c r="D41" s="28">
        <f>C41*(1+'Boundary conditions'!$D$14)</f>
        <v>3.8915770609319E-2</v>
      </c>
      <c r="E41" s="28">
        <f>D41*(1+'Boundary conditions'!$D$14)</f>
        <v>3.9304928315412192E-2</v>
      </c>
      <c r="F41" s="28">
        <f>E41*(1+'Boundary conditions'!$D$14)</f>
        <v>3.9697977598566317E-2</v>
      </c>
      <c r="G41" s="28">
        <f>F41*(1+'Boundary conditions'!$D$14)</f>
        <v>4.009495737455198E-2</v>
      </c>
      <c r="H41" s="28">
        <f>G41*(1+'Boundary conditions'!$D$14)</f>
        <v>4.0495906948297501E-2</v>
      </c>
      <c r="I41" s="28">
        <f>H41*(1+'Boundary conditions'!$D$14)</f>
        <v>4.0900866017780479E-2</v>
      </c>
      <c r="J41" s="28">
        <f>I41*(1+'Boundary conditions'!$D$14)</f>
        <v>4.1309874677958283E-2</v>
      </c>
      <c r="K41" s="28">
        <f>J41*(1+'Boundary conditions'!$D$14)</f>
        <v>4.1722973424737866E-2</v>
      </c>
      <c r="L41" s="28">
        <f>K41*(1+'Boundary conditions'!$D$14)</f>
        <v>4.2140203158985243E-2</v>
      </c>
      <c r="M41" s="28">
        <f>L41*(1+'Boundary conditions'!$D$14)</f>
        <v>4.2561605190575093E-2</v>
      </c>
      <c r="N41" s="28">
        <f>M41*(1+'Boundary conditions'!$D$14)</f>
        <v>4.2987221242480847E-2</v>
      </c>
      <c r="O41" s="28">
        <f>N41*(1+'Boundary conditions'!$D$14)</f>
        <v>4.3417093454905659E-2</v>
      </c>
      <c r="P41" s="28">
        <f>O41*(1+'Boundary conditions'!$D$14)</f>
        <v>4.3851264389454712E-2</v>
      </c>
      <c r="Q41" s="28">
        <f>P41*(1+'Boundary conditions'!$D$14)</f>
        <v>4.4289777033349263E-2</v>
      </c>
      <c r="R41" s="28">
        <f>Q41*(1+'Boundary conditions'!$D$14)</f>
        <v>4.4732674803682759E-2</v>
      </c>
      <c r="S41" s="28">
        <f>R41*(1+'Boundary conditions'!$D$14)</f>
        <v>4.5180001551719584E-2</v>
      </c>
      <c r="T41" s="28">
        <f>S41*(1+'Boundary conditions'!$D$14)</f>
        <v>4.5631801567236778E-2</v>
      </c>
      <c r="U41" s="28">
        <f>T41*(1+'Boundary conditions'!$D$14)</f>
        <v>4.6088119582909148E-2</v>
      </c>
      <c r="V41" s="28">
        <f>U41*(1+'Boundary conditions'!$D$14)</f>
        <v>4.6549000778738241E-2</v>
      </c>
      <c r="W41" s="15"/>
      <c r="X41" s="29">
        <f t="shared" ref="X41:X46" si="2">AVERAGE(C41:L41)</f>
        <v>4.0311392407542959E-2</v>
      </c>
      <c r="Y41" s="29">
        <f t="shared" si="1"/>
        <v>4.2420124183524088E-2</v>
      </c>
    </row>
    <row r="42" spans="2:25" x14ac:dyDescent="0.25">
      <c r="B42" s="31" t="s">
        <v>295</v>
      </c>
      <c r="C42" s="28">
        <f>'Boundary conditions'!D21</f>
        <v>3.3594624860022397E-2</v>
      </c>
      <c r="D42" s="28">
        <f>C42*(1+'Boundary conditions'!$D$20)</f>
        <v>3.3930571108622624E-2</v>
      </c>
      <c r="E42" s="28">
        <f>D42*(1+'Boundary conditions'!$D$20)</f>
        <v>3.4269876819708854E-2</v>
      </c>
      <c r="F42" s="28">
        <f>E42*(1+'Boundary conditions'!$D$20)</f>
        <v>3.4612575587905946E-2</v>
      </c>
      <c r="G42" s="28">
        <f>F42*(1+'Boundary conditions'!$D$20)</f>
        <v>3.4958701343785002E-2</v>
      </c>
      <c r="H42" s="28">
        <f>G42*(1+'Boundary conditions'!$D$20)</f>
        <v>3.5308288357222856E-2</v>
      </c>
      <c r="I42" s="28">
        <f>H42*(1+'Boundary conditions'!$D$20)</f>
        <v>3.5661371240795083E-2</v>
      </c>
      <c r="J42" s="28">
        <f>I42*(1+'Boundary conditions'!$D$20)</f>
        <v>3.6017984953203033E-2</v>
      </c>
      <c r="K42" s="28">
        <f>J42*(1+'Boundary conditions'!$D$20)</f>
        <v>3.6378164802735063E-2</v>
      </c>
      <c r="L42" s="28">
        <f>K42*(1+'Boundary conditions'!$D$20)</f>
        <v>3.6741946450762411E-2</v>
      </c>
      <c r="M42" s="28">
        <f>L42*(1+'Boundary conditions'!$D$20)</f>
        <v>3.7109365915270039E-2</v>
      </c>
      <c r="N42" s="28">
        <f>M42*(1+'Boundary conditions'!$D$20)</f>
        <v>3.7480459574422739E-2</v>
      </c>
      <c r="O42" s="28">
        <f>N42*(1+'Boundary conditions'!$D$20)</f>
        <v>3.785526417016697E-2</v>
      </c>
      <c r="P42" s="28">
        <f>O42*(1+'Boundary conditions'!$D$20)</f>
        <v>3.8233816811868639E-2</v>
      </c>
      <c r="Q42" s="28">
        <f>P42*(1+'Boundary conditions'!$D$20)</f>
        <v>3.8616154979987327E-2</v>
      </c>
      <c r="R42" s="28">
        <f>Q42*(1+'Boundary conditions'!$D$20)</f>
        <v>3.9002316529787202E-2</v>
      </c>
      <c r="S42" s="28">
        <f>R42*(1+'Boundary conditions'!$D$20)</f>
        <v>3.9392339695085071E-2</v>
      </c>
      <c r="T42" s="28">
        <f>S42*(1+'Boundary conditions'!$D$20)</f>
        <v>3.9786263092035923E-2</v>
      </c>
      <c r="U42" s="28">
        <f>T42*(1+'Boundary conditions'!$D$20)</f>
        <v>4.0184125722956279E-2</v>
      </c>
      <c r="V42" s="28">
        <f>U42*(1+'Boundary conditions'!$D$20)</f>
        <v>4.0585966980185843E-2</v>
      </c>
      <c r="W42" s="15"/>
      <c r="X42" s="29">
        <f t="shared" si="2"/>
        <v>3.5147410552476326E-2</v>
      </c>
      <c r="Y42" s="29">
        <f t="shared" si="1"/>
        <v>3.6986008949826461E-2</v>
      </c>
    </row>
    <row r="43" spans="2:25" x14ac:dyDescent="0.25">
      <c r="B43" s="31" t="s">
        <v>238</v>
      </c>
      <c r="C43" s="28">
        <f>'Boundary conditions'!D27</f>
        <v>2.9203539823008849E-2</v>
      </c>
      <c r="D43" s="28">
        <f>C43*(1+'Boundary conditions'!$D$26)</f>
        <v>2.9787610619469027E-2</v>
      </c>
      <c r="E43" s="28">
        <f>D43*(1+'Boundary conditions'!$D$26)</f>
        <v>3.0383362831858409E-2</v>
      </c>
      <c r="F43" s="28">
        <f>E43*(1+'Boundary conditions'!$D$26)</f>
        <v>3.0991030088495578E-2</v>
      </c>
      <c r="G43" s="28">
        <f>F43*(1+'Boundary conditions'!$D$26)</f>
        <v>3.1610850690265493E-2</v>
      </c>
      <c r="H43" s="28">
        <f>G43*(1+'Boundary conditions'!$D$26)</f>
        <v>3.2243067704070802E-2</v>
      </c>
      <c r="I43" s="28">
        <f>H43*(1+'Boundary conditions'!$D$26)</f>
        <v>3.2887929058152215E-2</v>
      </c>
      <c r="J43" s="28">
        <f>I43*(1+'Boundary conditions'!$D$26)</f>
        <v>3.3545687639315258E-2</v>
      </c>
      <c r="K43" s="28">
        <f>J43*(1+'Boundary conditions'!$D$26)</f>
        <v>3.4216601392101566E-2</v>
      </c>
      <c r="L43" s="28">
        <f>K43*(1+'Boundary conditions'!$D$26)</f>
        <v>3.4900933419943596E-2</v>
      </c>
      <c r="M43" s="28">
        <f>L43*(1+'Boundary conditions'!$D$26)</f>
        <v>3.5598952088342468E-2</v>
      </c>
      <c r="N43" s="28">
        <f>M43*(1+'Boundary conditions'!$D$26)</f>
        <v>3.6310931130109317E-2</v>
      </c>
      <c r="O43" s="28">
        <f>N43*(1+'Boundary conditions'!$D$26)</f>
        <v>3.7037149752711503E-2</v>
      </c>
      <c r="P43" s="28">
        <f>O43*(1+'Boundary conditions'!$D$26)</f>
        <v>3.7777892747765732E-2</v>
      </c>
      <c r="Q43" s="28">
        <f>P43*(1+'Boundary conditions'!$D$26)</f>
        <v>3.8533450602721044E-2</v>
      </c>
      <c r="R43" s="28">
        <f>Q43*(1+'Boundary conditions'!$D$26)</f>
        <v>3.9304119614775465E-2</v>
      </c>
      <c r="S43" s="28">
        <f>R43*(1+'Boundary conditions'!$D$26)</f>
        <v>4.0090202007070974E-2</v>
      </c>
      <c r="T43" s="28">
        <f>S43*(1+'Boundary conditions'!$D$26)</f>
        <v>4.0892006047212395E-2</v>
      </c>
      <c r="U43" s="28">
        <f>T43*(1+'Boundary conditions'!$D$26)</f>
        <v>4.1709846168156643E-2</v>
      </c>
      <c r="V43" s="28">
        <f>U43*(1+'Boundary conditions'!$D$26)</f>
        <v>4.2544043091519775E-2</v>
      </c>
      <c r="W43" s="15"/>
      <c r="X43" s="29">
        <f t="shared" si="2"/>
        <v>3.1977061326668089E-2</v>
      </c>
      <c r="Y43" s="29">
        <f t="shared" si="1"/>
        <v>3.5478460325853313E-2</v>
      </c>
    </row>
    <row r="44" spans="2:25" x14ac:dyDescent="0.25">
      <c r="B44" s="31" t="s">
        <v>1</v>
      </c>
      <c r="C44" s="28">
        <f>'Boundary conditions'!D33</f>
        <v>6.5000000000000002E-2</v>
      </c>
      <c r="D44" s="28">
        <f>C44*(1+'Boundary conditions'!$D$32)</f>
        <v>6.6299999999999998E-2</v>
      </c>
      <c r="E44" s="28">
        <f>D44*(1+'Boundary conditions'!$D$32)</f>
        <v>6.7626000000000006E-2</v>
      </c>
      <c r="F44" s="28">
        <f>E44*(1+'Boundary conditions'!$D$32)</f>
        <v>6.8978520000000001E-2</v>
      </c>
      <c r="G44" s="28">
        <f>F44*(1+'Boundary conditions'!$D$32)</f>
        <v>7.0358090400000003E-2</v>
      </c>
      <c r="H44" s="28">
        <f>G44*(1+'Boundary conditions'!$D$32)</f>
        <v>7.1765252208000008E-2</v>
      </c>
      <c r="I44" s="28">
        <f>H44*(1+'Boundary conditions'!$D$32)</f>
        <v>7.3200557252160015E-2</v>
      </c>
      <c r="J44" s="28">
        <f>I44*(1+'Boundary conditions'!$D$32)</f>
        <v>7.4664568397203215E-2</v>
      </c>
      <c r="K44" s="28">
        <f>J44*(1+'Boundary conditions'!$D$32)</f>
        <v>7.6157859765147287E-2</v>
      </c>
      <c r="L44" s="28">
        <f>K44*(1+'Boundary conditions'!$D$32)</f>
        <v>7.7681016960450239E-2</v>
      </c>
      <c r="M44" s="28">
        <f>L44*(1+'Boundary conditions'!$D$32)</f>
        <v>7.9234637299659239E-2</v>
      </c>
      <c r="N44" s="28">
        <f>M44*(1+'Boundary conditions'!$D$32)</f>
        <v>8.0819330045652421E-2</v>
      </c>
      <c r="O44" s="28">
        <f>N44*(1+'Boundary conditions'!$D$32)</f>
        <v>8.2435716646565474E-2</v>
      </c>
      <c r="P44" s="28">
        <f>O44*(1+'Boundary conditions'!$D$32)</f>
        <v>8.4084430979496791E-2</v>
      </c>
      <c r="Q44" s="28">
        <f>P44*(1+'Boundary conditions'!$D$32)</f>
        <v>8.5766119599086726E-2</v>
      </c>
      <c r="R44" s="28">
        <f>Q44*(1+'Boundary conditions'!$D$32)</f>
        <v>8.7481441991068457E-2</v>
      </c>
      <c r="S44" s="28">
        <f>R44*(1+'Boundary conditions'!$D$32)</f>
        <v>8.9231070830889825E-2</v>
      </c>
      <c r="T44" s="28">
        <f>S44*(1+'Boundary conditions'!$D$32)</f>
        <v>9.1015692247507621E-2</v>
      </c>
      <c r="U44" s="28">
        <f>T44*(1+'Boundary conditions'!$D$32)</f>
        <v>9.2836006092457776E-2</v>
      </c>
      <c r="V44" s="28">
        <f>U44*(1+'Boundary conditions'!$D$32)</f>
        <v>9.4692726214306938E-2</v>
      </c>
      <c r="W44" s="15"/>
      <c r="X44" s="29">
        <f t="shared" si="2"/>
        <v>7.1173186498296084E-2</v>
      </c>
      <c r="Y44" s="29">
        <f t="shared" si="1"/>
        <v>7.8966451846482599E-2</v>
      </c>
    </row>
    <row r="45" spans="2:25" x14ac:dyDescent="0.25">
      <c r="B45" s="31" t="s">
        <v>25</v>
      </c>
      <c r="C45" s="28">
        <f>'Boundary conditions'!D39</f>
        <v>6.8750000000000006E-2</v>
      </c>
      <c r="D45" s="28">
        <f>C45*(1+'Boundary conditions'!$D$38)</f>
        <v>7.0125000000000007E-2</v>
      </c>
      <c r="E45" s="28">
        <f>D45*(1+'Boundary conditions'!$D$38)</f>
        <v>7.1527500000000008E-2</v>
      </c>
      <c r="F45" s="28">
        <f>E45*(1+'Boundary conditions'!$D$38)</f>
        <v>7.295805000000001E-2</v>
      </c>
      <c r="G45" s="28">
        <f>F45*(1+'Boundary conditions'!$D$38)</f>
        <v>7.4417211000000011E-2</v>
      </c>
      <c r="H45" s="28">
        <f>G45*(1+'Boundary conditions'!$D$38)</f>
        <v>7.5905555220000018E-2</v>
      </c>
      <c r="I45" s="28">
        <f>H45*(1+'Boundary conditions'!$D$38)</f>
        <v>7.7423666324400023E-2</v>
      </c>
      <c r="J45" s="28">
        <f>I45*(1+'Boundary conditions'!$D$38)</f>
        <v>7.8972139650888021E-2</v>
      </c>
      <c r="K45" s="28">
        <f>J45*(1+'Boundary conditions'!$D$38)</f>
        <v>8.0551582443905784E-2</v>
      </c>
      <c r="L45" s="28">
        <f>K45*(1+'Boundary conditions'!$D$38)</f>
        <v>8.21626140927839E-2</v>
      </c>
      <c r="M45" s="28">
        <f>L45*(1+'Boundary conditions'!$D$38)</f>
        <v>8.3805866374639576E-2</v>
      </c>
      <c r="N45" s="28">
        <f>M45*(1+'Boundary conditions'!$D$38)</f>
        <v>8.5481983702132364E-2</v>
      </c>
      <c r="O45" s="28">
        <f>N45*(1+'Boundary conditions'!$D$38)</f>
        <v>8.7191623376175018E-2</v>
      </c>
      <c r="P45" s="28">
        <f>O45*(1+'Boundary conditions'!$D$38)</f>
        <v>8.8935455843698524E-2</v>
      </c>
      <c r="Q45" s="28">
        <f>P45*(1+'Boundary conditions'!$D$38)</f>
        <v>9.0714164960572496E-2</v>
      </c>
      <c r="R45" s="28">
        <f>Q45*(1+'Boundary conditions'!$D$38)</f>
        <v>9.2528448259783944E-2</v>
      </c>
      <c r="S45" s="28">
        <f>R45*(1+'Boundary conditions'!$D$38)</f>
        <v>9.4379017224979628E-2</v>
      </c>
      <c r="T45" s="28">
        <f>S45*(1+'Boundary conditions'!$D$38)</f>
        <v>9.6266597569479223E-2</v>
      </c>
      <c r="U45" s="28">
        <f>T45*(1+'Boundary conditions'!$D$38)</f>
        <v>9.8191929520868804E-2</v>
      </c>
      <c r="V45" s="28">
        <f>U45*(1+'Boundary conditions'!$D$38)</f>
        <v>0.10015576811128618</v>
      </c>
      <c r="W45" s="15"/>
      <c r="X45" s="29">
        <f t="shared" si="2"/>
        <v>7.5279331873197783E-2</v>
      </c>
      <c r="Y45" s="29">
        <f t="shared" si="1"/>
        <v>8.3522208683779672E-2</v>
      </c>
    </row>
    <row r="46" spans="2:25" x14ac:dyDescent="0.25">
      <c r="B46" s="31" t="s">
        <v>5</v>
      </c>
      <c r="C46" s="28">
        <f>'Boundary conditions'!D45</f>
        <v>6.6600000000000006E-2</v>
      </c>
      <c r="D46" s="28">
        <f>C46*(1+'Boundary conditions'!$D$44)</f>
        <v>6.7266000000000006E-2</v>
      </c>
      <c r="E46" s="28">
        <f>D46*(1+'Boundary conditions'!$D$44)</f>
        <v>6.7938660000000012E-2</v>
      </c>
      <c r="F46" s="28">
        <f>E46*(1+'Boundary conditions'!$D$44)</f>
        <v>6.861804660000001E-2</v>
      </c>
      <c r="G46" s="28">
        <f>F46*(1+'Boundary conditions'!$D$44)</f>
        <v>6.9304227066000007E-2</v>
      </c>
      <c r="H46" s="28">
        <f>G46*(1+'Boundary conditions'!$D$44)</f>
        <v>6.9997269336660006E-2</v>
      </c>
      <c r="I46" s="28">
        <f>H46*(1+'Boundary conditions'!$D$44)</f>
        <v>7.0697242030026614E-2</v>
      </c>
      <c r="J46" s="28">
        <f>I46*(1+'Boundary conditions'!$D$44)</f>
        <v>7.1404214450326881E-2</v>
      </c>
      <c r="K46" s="28">
        <f>J46*(1+'Boundary conditions'!$D$44)</f>
        <v>7.2118256594830149E-2</v>
      </c>
      <c r="L46" s="28">
        <f>K46*(1+'Boundary conditions'!$D$44)</f>
        <v>7.2839439160778452E-2</v>
      </c>
      <c r="M46" s="28">
        <f>L46*(1+'Boundary conditions'!$D$44)</f>
        <v>7.3567833552386233E-2</v>
      </c>
      <c r="N46" s="28">
        <f>M46*(1+'Boundary conditions'!$D$44)</f>
        <v>7.4303511887910095E-2</v>
      </c>
      <c r="O46" s="28">
        <f>N46*(1+'Boundary conditions'!$D$44)</f>
        <v>7.5046547006789199E-2</v>
      </c>
      <c r="P46" s="28">
        <f>O46*(1+'Boundary conditions'!$D$44)</f>
        <v>7.5797012476857092E-2</v>
      </c>
      <c r="Q46" s="28">
        <f>P46*(1+'Boundary conditions'!$D$44)</f>
        <v>7.655498260162566E-2</v>
      </c>
      <c r="R46" s="28">
        <f>Q46*(1+'Boundary conditions'!$D$44)</f>
        <v>7.7320532427641919E-2</v>
      </c>
      <c r="S46" s="28">
        <f>R46*(1+'Boundary conditions'!$D$44)</f>
        <v>7.8093737751918343E-2</v>
      </c>
      <c r="T46" s="28">
        <f>S46*(1+'Boundary conditions'!$D$44)</f>
        <v>7.8874675129437521E-2</v>
      </c>
      <c r="U46" s="28">
        <f>T46*(1+'Boundary conditions'!$D$44)</f>
        <v>7.9663421880731902E-2</v>
      </c>
      <c r="V46" s="28">
        <f>U46*(1+'Boundary conditions'!$D$44)</f>
        <v>8.0460056099539226E-2</v>
      </c>
      <c r="W46" s="15"/>
      <c r="X46" s="29">
        <f t="shared" si="2"/>
        <v>6.9678335523862225E-2</v>
      </c>
      <c r="Y46" s="29">
        <f t="shared" si="1"/>
        <v>7.3323283302672987E-2</v>
      </c>
    </row>
    <row r="47" spans="2:25" x14ac:dyDescent="0.25">
      <c r="B47" s="15"/>
      <c r="C47" s="15"/>
      <c r="D47" s="15"/>
      <c r="E47" s="15"/>
      <c r="F47" s="15"/>
      <c r="G47" s="15"/>
      <c r="W47" s="15"/>
      <c r="X47" s="15"/>
      <c r="Y47" s="15"/>
    </row>
    <row r="48" spans="2:25" x14ac:dyDescent="0.25">
      <c r="B48" s="32" t="s">
        <v>35</v>
      </c>
      <c r="C48" s="15"/>
      <c r="D48" s="15"/>
      <c r="E48" s="15"/>
      <c r="F48" s="33" t="s">
        <v>49</v>
      </c>
      <c r="G48" s="15"/>
      <c r="W48" s="15"/>
      <c r="X48" s="15"/>
      <c r="Y48" s="15"/>
    </row>
    <row r="49" spans="1:27" x14ac:dyDescent="0.25">
      <c r="B49" s="32" t="s">
        <v>40</v>
      </c>
      <c r="C49" s="3" t="s">
        <v>41</v>
      </c>
      <c r="D49" s="3" t="s">
        <v>48</v>
      </c>
      <c r="E49" s="15"/>
      <c r="G49" s="3" t="s">
        <v>38</v>
      </c>
      <c r="H49" s="3" t="s">
        <v>42</v>
      </c>
      <c r="I49" s="3" t="s">
        <v>39</v>
      </c>
      <c r="J49" s="3" t="s">
        <v>44</v>
      </c>
      <c r="W49" s="15"/>
      <c r="X49" s="15"/>
      <c r="Y49" s="15"/>
    </row>
    <row r="50" spans="1:27" x14ac:dyDescent="0.25">
      <c r="B50" s="32" t="s">
        <v>36</v>
      </c>
      <c r="C50" s="3" t="s">
        <v>47</v>
      </c>
      <c r="D50" s="3" t="s">
        <v>38</v>
      </c>
      <c r="E50" s="15"/>
      <c r="F50" s="3" t="s">
        <v>50</v>
      </c>
      <c r="G50" s="34">
        <v>1</v>
      </c>
      <c r="H50" s="34">
        <f>1/G51</f>
        <v>1.0924902222125112</v>
      </c>
      <c r="I50" s="34">
        <v>4.5552599999999996</v>
      </c>
      <c r="J50" s="34">
        <v>7.6003800000000004</v>
      </c>
    </row>
    <row r="51" spans="1:27" x14ac:dyDescent="0.25">
      <c r="B51" s="32" t="s">
        <v>43</v>
      </c>
      <c r="C51" s="3" t="s">
        <v>37</v>
      </c>
      <c r="D51" s="3" t="s">
        <v>42</v>
      </c>
      <c r="F51" s="3" t="s">
        <v>51</v>
      </c>
      <c r="G51" s="34">
        <v>0.91534000000000004</v>
      </c>
      <c r="H51" s="34">
        <v>1</v>
      </c>
      <c r="I51" s="34">
        <v>4.1702899999999996</v>
      </c>
      <c r="J51" s="34">
        <v>6.95817</v>
      </c>
    </row>
    <row r="52" spans="1:27" x14ac:dyDescent="0.25">
      <c r="B52" s="3" t="s">
        <v>46</v>
      </c>
      <c r="C52" s="3"/>
      <c r="D52" s="3" t="s">
        <v>39</v>
      </c>
      <c r="F52" s="3" t="s">
        <v>52</v>
      </c>
      <c r="G52" s="34">
        <f>1/I50</f>
        <v>0.21952643756887644</v>
      </c>
      <c r="H52" s="34">
        <f>1/I51</f>
        <v>0.2397914773313127</v>
      </c>
      <c r="I52" s="34">
        <v>1</v>
      </c>
      <c r="J52" s="34">
        <v>1.66561</v>
      </c>
    </row>
    <row r="53" spans="1:27" x14ac:dyDescent="0.25">
      <c r="B53" s="32" t="s">
        <v>45</v>
      </c>
      <c r="C53" s="3"/>
      <c r="D53" s="3" t="s">
        <v>44</v>
      </c>
      <c r="F53" s="3" t="s">
        <v>53</v>
      </c>
      <c r="G53" s="34">
        <f>1/J50</f>
        <v>0.13157236874998354</v>
      </c>
      <c r="H53" s="34">
        <f>1/J51</f>
        <v>0.14371594830249906</v>
      </c>
      <c r="I53" s="34">
        <f>1/J52</f>
        <v>0.60038064132660107</v>
      </c>
      <c r="J53" s="34">
        <v>1</v>
      </c>
    </row>
    <row r="55" spans="1:27" x14ac:dyDescent="0.25">
      <c r="B55" s="15"/>
      <c r="C55" s="209" t="s">
        <v>154</v>
      </c>
      <c r="D55" s="211" t="s">
        <v>14</v>
      </c>
      <c r="E55" s="211"/>
      <c r="F55" s="211"/>
      <c r="G55" s="211"/>
      <c r="H55" s="211"/>
      <c r="I55" s="211"/>
      <c r="J55" s="211"/>
      <c r="K55" s="211"/>
      <c r="L55" s="211"/>
      <c r="M55" s="211"/>
      <c r="N55" s="15"/>
      <c r="O55" s="15"/>
      <c r="P55" s="15"/>
      <c r="Q55" s="15"/>
      <c r="R55" s="15"/>
      <c r="S55" s="15"/>
      <c r="T55" s="15"/>
      <c r="U55" s="15"/>
      <c r="V55" s="15"/>
      <c r="W55" s="15"/>
      <c r="X55" s="15"/>
      <c r="Y55" s="15"/>
      <c r="Z55" s="15"/>
      <c r="AA55" s="15"/>
    </row>
    <row r="56" spans="1:27" x14ac:dyDescent="0.25">
      <c r="B56" s="15"/>
      <c r="C56" s="210"/>
      <c r="D56" s="84" t="s">
        <v>11</v>
      </c>
      <c r="E56" s="84" t="s">
        <v>12</v>
      </c>
      <c r="F56" s="84" t="s">
        <v>24</v>
      </c>
      <c r="G56" s="84" t="s">
        <v>13</v>
      </c>
      <c r="H56" s="84" t="s">
        <v>7</v>
      </c>
      <c r="I56" s="84" t="s">
        <v>23</v>
      </c>
      <c r="J56" s="84" t="s">
        <v>119</v>
      </c>
      <c r="K56" s="84" t="s">
        <v>118</v>
      </c>
      <c r="L56" s="84" t="s">
        <v>144</v>
      </c>
      <c r="M56" s="84" t="s">
        <v>242</v>
      </c>
      <c r="N56" s="15"/>
      <c r="O56" s="15"/>
      <c r="P56" s="15"/>
      <c r="Q56" s="15"/>
      <c r="R56" s="15"/>
      <c r="S56" s="15"/>
      <c r="T56" s="15"/>
      <c r="U56" s="15"/>
      <c r="V56" s="15"/>
      <c r="W56" s="15"/>
      <c r="X56" s="15"/>
      <c r="Y56" s="15"/>
      <c r="Z56" s="15"/>
      <c r="AA56" s="15"/>
    </row>
    <row r="57" spans="1:27" x14ac:dyDescent="0.25">
      <c r="C57" s="104"/>
      <c r="D57" s="103"/>
      <c r="E57" s="103"/>
      <c r="F57" s="103"/>
      <c r="G57" s="103"/>
      <c r="H57" s="103"/>
      <c r="I57" s="103"/>
      <c r="J57" s="103"/>
      <c r="K57" s="103"/>
      <c r="L57" s="104"/>
      <c r="M57" s="104"/>
      <c r="N57" s="15"/>
      <c r="O57" s="15"/>
      <c r="P57" s="15"/>
      <c r="Q57" s="15"/>
      <c r="R57" s="15"/>
      <c r="S57" s="15"/>
      <c r="T57" s="15"/>
      <c r="U57" s="15"/>
      <c r="V57" s="15"/>
      <c r="W57" s="15"/>
      <c r="X57" s="15"/>
      <c r="Y57" s="15"/>
      <c r="Z57" s="15"/>
      <c r="AA57" s="15"/>
    </row>
    <row r="58" spans="1:27" x14ac:dyDescent="0.25">
      <c r="A58" s="153" t="str">
        <f>'Heating system'!F14</f>
        <v>Subsidy schemes…</v>
      </c>
      <c r="B58" s="47" t="str">
        <f>'Heating system'!F15</f>
        <v>on investment</v>
      </c>
      <c r="C58" s="151">
        <f>'Heating system'!H15</f>
        <v>0</v>
      </c>
      <c r="D58" s="14">
        <f>'Reference systems'!C29</f>
        <v>0</v>
      </c>
      <c r="E58" s="14">
        <f>'Reference systems'!D29</f>
        <v>0</v>
      </c>
      <c r="F58" s="14">
        <f>'Reference systems'!E29</f>
        <v>0</v>
      </c>
      <c r="G58" s="14">
        <f>'Reference systems'!F29</f>
        <v>0</v>
      </c>
      <c r="H58" s="14">
        <f>'Reference systems'!G29</f>
        <v>0</v>
      </c>
      <c r="I58" s="14">
        <f>'Reference systems'!H29</f>
        <v>0</v>
      </c>
      <c r="J58" s="14">
        <f>'Reference systems'!I29</f>
        <v>0</v>
      </c>
      <c r="K58" s="14">
        <f>'Reference systems'!J29</f>
        <v>0</v>
      </c>
      <c r="L58" s="14">
        <f>'Reference systems'!K29</f>
        <v>0</v>
      </c>
      <c r="M58" s="14">
        <f>'Reference systems'!L29</f>
        <v>0</v>
      </c>
      <c r="N58" s="15"/>
      <c r="O58" s="15"/>
      <c r="P58" s="15"/>
      <c r="Q58" s="15"/>
      <c r="R58" s="15"/>
      <c r="S58" s="15"/>
      <c r="T58" s="15"/>
      <c r="U58" s="15"/>
      <c r="V58" s="15"/>
      <c r="W58" s="15"/>
      <c r="X58" s="15"/>
      <c r="Y58" s="15"/>
      <c r="Z58" s="15"/>
      <c r="AA58" s="15"/>
    </row>
    <row r="59" spans="1:27" x14ac:dyDescent="0.25">
      <c r="B59" s="152" t="s">
        <v>113</v>
      </c>
      <c r="C59" s="4">
        <f>'Heating system'!H19</f>
        <v>4000</v>
      </c>
      <c r="D59" s="4">
        <f ca="1">'Reference systems'!C33</f>
        <v>4000</v>
      </c>
      <c r="E59" s="4">
        <f ca="1">'Reference systems'!D33</f>
        <v>4000</v>
      </c>
      <c r="F59" s="4">
        <f ca="1">'Reference systems'!E33</f>
        <v>4000</v>
      </c>
      <c r="G59" s="4">
        <f ca="1">'Reference systems'!F33</f>
        <v>4000</v>
      </c>
      <c r="H59" s="4">
        <f ca="1">'Reference systems'!G33</f>
        <v>4000</v>
      </c>
      <c r="I59" s="4">
        <f>'Reference systems'!H33</f>
        <v>0</v>
      </c>
      <c r="J59" s="4">
        <f>'Reference systems'!I33</f>
        <v>4000</v>
      </c>
      <c r="K59" s="4">
        <f>'Reference systems'!J33</f>
        <v>4000</v>
      </c>
      <c r="L59" s="4">
        <f>'Reference systems'!K33</f>
        <v>4000</v>
      </c>
      <c r="M59" s="4">
        <f ca="1">'Reference systems'!L33</f>
        <v>4000</v>
      </c>
      <c r="N59" s="15"/>
      <c r="O59" s="15"/>
      <c r="P59" s="15"/>
      <c r="Q59" s="15"/>
      <c r="R59" s="15"/>
      <c r="S59" s="15"/>
      <c r="T59" s="15"/>
      <c r="U59" s="15"/>
      <c r="V59" s="15"/>
      <c r="W59" s="15"/>
      <c r="X59" s="15"/>
      <c r="Y59" s="15"/>
      <c r="Z59" s="15"/>
      <c r="AA59" s="15"/>
    </row>
    <row r="60" spans="1:27" x14ac:dyDescent="0.25">
      <c r="B60" s="3" t="s">
        <v>115</v>
      </c>
      <c r="C60" s="4">
        <f>'Heating system'!H18</f>
        <v>11000</v>
      </c>
      <c r="D60" s="4">
        <f ca="1">'Reference systems'!C32</f>
        <v>4800</v>
      </c>
      <c r="E60" s="4">
        <f ca="1">'Reference systems'!D32</f>
        <v>9700</v>
      </c>
      <c r="F60" s="4">
        <f ca="1">'Reference systems'!E32</f>
        <v>6100</v>
      </c>
      <c r="G60" s="4">
        <f ca="1">'Reference systems'!F32</f>
        <v>16550</v>
      </c>
      <c r="H60" s="4">
        <f ca="1">'Reference systems'!G32</f>
        <v>1700</v>
      </c>
      <c r="I60" s="4">
        <f>'Reference systems'!H32</f>
        <v>0</v>
      </c>
      <c r="J60" s="4">
        <f>'Reference systems'!I32</f>
        <v>12000</v>
      </c>
      <c r="K60" s="4">
        <f>'Reference systems'!J32</f>
        <v>26000</v>
      </c>
      <c r="L60" s="4">
        <f>'Reference systems'!K32</f>
        <v>16000</v>
      </c>
      <c r="M60" s="4">
        <f ca="1">'Reference systems'!L32</f>
        <v>6750</v>
      </c>
      <c r="N60" s="15"/>
      <c r="O60" s="15"/>
      <c r="P60" s="15"/>
      <c r="Q60" s="15"/>
      <c r="R60" s="15"/>
      <c r="S60" s="15"/>
      <c r="T60" s="15"/>
      <c r="U60" s="15"/>
      <c r="V60" s="15"/>
      <c r="W60" s="15"/>
      <c r="X60" s="15"/>
      <c r="Y60" s="15"/>
      <c r="Z60" s="15"/>
      <c r="AA60" s="15"/>
    </row>
    <row r="61" spans="1:27" x14ac:dyDescent="0.25">
      <c r="B61" s="3" t="s">
        <v>114</v>
      </c>
      <c r="C61" s="36">
        <f>'Boundary conditions'!$K$4</f>
        <v>0.02</v>
      </c>
      <c r="D61" s="15"/>
      <c r="E61" s="15"/>
      <c r="F61" s="15"/>
      <c r="G61" s="15"/>
      <c r="H61" s="15"/>
      <c r="I61" s="15"/>
      <c r="J61" s="15"/>
      <c r="K61" s="15"/>
      <c r="L61" s="15"/>
      <c r="M61" s="15"/>
      <c r="N61" s="15"/>
      <c r="O61" s="15"/>
      <c r="P61" s="15"/>
      <c r="Q61" s="15"/>
      <c r="R61" s="15"/>
      <c r="S61" s="15"/>
      <c r="T61" s="15"/>
      <c r="U61" s="15"/>
      <c r="V61" s="15"/>
      <c r="W61" s="15"/>
      <c r="X61" s="15"/>
      <c r="Y61" s="15"/>
      <c r="Z61" s="15"/>
      <c r="AA61" s="15"/>
    </row>
    <row r="62" spans="1:27" x14ac:dyDescent="0.25">
      <c r="B62" s="3" t="s">
        <v>138</v>
      </c>
      <c r="C62" s="37">
        <f>'Heating system'!H20</f>
        <v>11</v>
      </c>
      <c r="D62" s="37">
        <f ca="1">'Reference systems'!C34</f>
        <v>4</v>
      </c>
      <c r="E62" s="37">
        <f ca="1">'Reference systems'!D34</f>
        <v>9</v>
      </c>
      <c r="F62" s="37">
        <f ca="1">'Reference systems'!E34</f>
        <v>6</v>
      </c>
      <c r="G62" s="37">
        <f ca="1">'Reference systems'!F34</f>
        <v>16</v>
      </c>
      <c r="H62" s="37">
        <f ca="1">'Reference systems'!G34</f>
        <v>1</v>
      </c>
      <c r="I62" s="37">
        <f>'Reference systems'!H34</f>
        <v>1</v>
      </c>
      <c r="J62" s="37">
        <f>'Reference systems'!I34</f>
        <v>12</v>
      </c>
      <c r="K62" s="37">
        <f>'Reference systems'!J34</f>
        <v>20</v>
      </c>
      <c r="L62" s="37">
        <f>'Reference systems'!K34</f>
        <v>16</v>
      </c>
      <c r="M62" s="37">
        <f ca="1">'Reference systems'!L34</f>
        <v>6</v>
      </c>
      <c r="N62" s="15"/>
      <c r="O62" s="15"/>
      <c r="P62" s="15"/>
      <c r="Q62" s="15"/>
      <c r="R62" s="15"/>
      <c r="S62" s="15"/>
      <c r="T62" s="15"/>
      <c r="U62" s="15"/>
      <c r="V62" s="15"/>
      <c r="W62" s="15"/>
      <c r="X62" s="15"/>
      <c r="Y62" s="15"/>
      <c r="Z62" s="15"/>
      <c r="AA62" s="15"/>
    </row>
    <row r="63" spans="1:27" x14ac:dyDescent="0.25">
      <c r="B63" s="9" t="s">
        <v>137</v>
      </c>
      <c r="C63" s="4">
        <f>'Heating system'!H9</f>
        <v>20</v>
      </c>
      <c r="D63" s="4">
        <f>'Reference systems'!C9</f>
        <v>20</v>
      </c>
      <c r="E63" s="4">
        <f>'Reference systems'!D9</f>
        <v>20</v>
      </c>
      <c r="F63" s="4">
        <f>'Reference systems'!E9</f>
        <v>20</v>
      </c>
      <c r="G63" s="4">
        <f>'Reference systems'!F9</f>
        <v>20</v>
      </c>
      <c r="H63" s="4">
        <f>'Reference systems'!G9</f>
        <v>20</v>
      </c>
      <c r="I63" s="4">
        <f>'Reference systems'!H9</f>
        <v>20</v>
      </c>
      <c r="J63" s="4">
        <f>'Reference systems'!I9</f>
        <v>20</v>
      </c>
      <c r="K63" s="4">
        <f>'Reference systems'!J9</f>
        <v>20</v>
      </c>
      <c r="L63" s="4">
        <f>'Reference systems'!K9</f>
        <v>20</v>
      </c>
      <c r="M63" s="4">
        <f>'Reference systems'!L9</f>
        <v>20</v>
      </c>
      <c r="N63" s="15"/>
      <c r="O63" s="15"/>
      <c r="P63" s="15"/>
      <c r="Q63" s="15"/>
      <c r="R63" s="15"/>
      <c r="S63" s="15"/>
      <c r="T63" s="15"/>
      <c r="U63" s="15"/>
      <c r="V63" s="15"/>
      <c r="W63" s="15"/>
      <c r="X63" s="15"/>
      <c r="Y63" s="15"/>
      <c r="Z63" s="15"/>
      <c r="AA63" s="15"/>
    </row>
    <row r="64" spans="1:27" x14ac:dyDescent="0.25">
      <c r="B64" s="22" t="s">
        <v>196</v>
      </c>
      <c r="C64" s="88">
        <f>20/C63</f>
        <v>1</v>
      </c>
      <c r="D64" s="88">
        <f>20/D63</f>
        <v>1</v>
      </c>
      <c r="E64" s="88">
        <f t="shared" ref="E64:K64" si="3">20/E63</f>
        <v>1</v>
      </c>
      <c r="F64" s="88">
        <f t="shared" si="3"/>
        <v>1</v>
      </c>
      <c r="G64" s="88">
        <f t="shared" si="3"/>
        <v>1</v>
      </c>
      <c r="H64" s="88">
        <f t="shared" si="3"/>
        <v>1</v>
      </c>
      <c r="I64" s="88">
        <f t="shared" si="3"/>
        <v>1</v>
      </c>
      <c r="J64" s="88">
        <f t="shared" si="3"/>
        <v>1</v>
      </c>
      <c r="K64" s="88">
        <f t="shared" si="3"/>
        <v>1</v>
      </c>
      <c r="L64" s="88">
        <f>20/L63</f>
        <v>1</v>
      </c>
      <c r="M64" s="88">
        <f t="shared" ref="M64" si="4">20/M63</f>
        <v>1</v>
      </c>
      <c r="N64" s="15"/>
      <c r="O64" s="15"/>
      <c r="P64" s="15"/>
      <c r="Q64" s="15"/>
      <c r="R64" s="15"/>
      <c r="S64" s="15"/>
      <c r="T64" s="15"/>
      <c r="U64" s="15"/>
      <c r="V64" s="15"/>
      <c r="W64" s="15"/>
      <c r="X64" s="15"/>
      <c r="Y64" s="15"/>
      <c r="Z64" s="15"/>
      <c r="AA64" s="15"/>
    </row>
    <row r="65" spans="2:27" x14ac:dyDescent="0.25">
      <c r="B65" s="82"/>
      <c r="M65" s="15"/>
      <c r="N65" s="15"/>
      <c r="O65" s="15"/>
      <c r="P65" s="15"/>
      <c r="Q65" s="15"/>
      <c r="R65" s="15"/>
      <c r="S65" s="15"/>
      <c r="T65" s="15"/>
      <c r="U65" s="15"/>
      <c r="V65" s="15"/>
      <c r="W65" s="15"/>
      <c r="X65" s="15"/>
      <c r="Y65" s="15"/>
      <c r="Z65" s="15"/>
      <c r="AA65" s="15"/>
    </row>
    <row r="66" spans="2:27" x14ac:dyDescent="0.25">
      <c r="B66" s="22" t="s">
        <v>197</v>
      </c>
      <c r="C66" s="83">
        <f t="shared" ref="C66:L66" si="5">1-MOD(20,C63)/C63</f>
        <v>1</v>
      </c>
      <c r="D66" s="83">
        <f t="shared" si="5"/>
        <v>1</v>
      </c>
      <c r="E66" s="83">
        <f t="shared" si="5"/>
        <v>1</v>
      </c>
      <c r="F66" s="83">
        <f t="shared" si="5"/>
        <v>1</v>
      </c>
      <c r="G66" s="83">
        <f t="shared" si="5"/>
        <v>1</v>
      </c>
      <c r="H66" s="83">
        <f t="shared" si="5"/>
        <v>1</v>
      </c>
      <c r="I66" s="83">
        <f t="shared" si="5"/>
        <v>1</v>
      </c>
      <c r="J66" s="83">
        <f t="shared" si="5"/>
        <v>1</v>
      </c>
      <c r="K66" s="83">
        <f t="shared" si="5"/>
        <v>1</v>
      </c>
      <c r="L66" s="83">
        <f t="shared" si="5"/>
        <v>1</v>
      </c>
      <c r="M66" s="83">
        <f t="shared" ref="M66" si="6">1-MOD(20,M63)/M63</f>
        <v>1</v>
      </c>
      <c r="N66" s="15"/>
      <c r="O66" s="15"/>
      <c r="P66" s="15"/>
      <c r="Q66" s="15"/>
      <c r="R66" s="15"/>
      <c r="S66" s="15"/>
      <c r="T66" s="15"/>
      <c r="U66" s="15"/>
      <c r="V66" s="15"/>
      <c r="W66" s="15"/>
      <c r="X66" s="15"/>
      <c r="Y66" s="15"/>
      <c r="Z66" s="15"/>
      <c r="AA66" s="15"/>
    </row>
    <row r="67" spans="2:27" x14ac:dyDescent="0.25">
      <c r="B67" s="43" t="s">
        <v>209</v>
      </c>
      <c r="C67" s="44">
        <f>IF(C60=0,0,-PMT($C$61,C$62,C60))</f>
        <v>1123.9573710601005</v>
      </c>
      <c r="D67" s="44">
        <f t="shared" ref="D67:I67" ca="1" si="7">IF(D60=0,0,-PMT($C$61,D$62,D60))</f>
        <v>1260.59401282218</v>
      </c>
      <c r="E67" s="44">
        <f t="shared" ca="1" si="7"/>
        <v>1188.3997424913398</v>
      </c>
      <c r="F67" s="44">
        <f t="shared" ca="1" si="7"/>
        <v>1089.0074552447352</v>
      </c>
      <c r="G67" s="44">
        <f t="shared" ca="1" si="7"/>
        <v>1218.9095831197299</v>
      </c>
      <c r="H67" s="44">
        <f t="shared" ca="1" si="7"/>
        <v>1734</v>
      </c>
      <c r="I67" s="44">
        <f t="shared" si="7"/>
        <v>0</v>
      </c>
      <c r="J67" s="44">
        <f>-PMT($C$61,J$62,J60)</f>
        <v>1134.7151594754175</v>
      </c>
      <c r="K67" s="44">
        <f>-PMT($C$61,K$62,K60)</f>
        <v>1590.0746712575503</v>
      </c>
      <c r="L67" s="44">
        <f>-PMT($C$61,L$62,L60)</f>
        <v>1178.402013892186</v>
      </c>
      <c r="M67" s="44">
        <f ca="1">-PMT($C$61,M$62,M60)</f>
        <v>1205.0492332626168</v>
      </c>
      <c r="N67" s="15"/>
      <c r="O67" s="15"/>
      <c r="P67" s="15"/>
      <c r="Q67" s="15"/>
      <c r="R67" s="15"/>
      <c r="S67" s="15"/>
      <c r="T67" s="15"/>
      <c r="U67" s="15"/>
      <c r="V67" s="15"/>
      <c r="W67" s="15"/>
      <c r="X67" s="15"/>
      <c r="Y67" s="15"/>
      <c r="Z67" s="15"/>
      <c r="AA67" s="15"/>
    </row>
    <row r="68" spans="2:27" x14ac:dyDescent="0.25">
      <c r="B68" s="22" t="s">
        <v>210</v>
      </c>
      <c r="C68" s="39">
        <f t="shared" ref="C68:L68" si="8">-PMT($C$61,C$62,C60+C59)</f>
        <v>1532.6691423546827</v>
      </c>
      <c r="D68" s="39">
        <f t="shared" ca="1" si="8"/>
        <v>2311.0890235073302</v>
      </c>
      <c r="E68" s="39">
        <f t="shared" ca="1" si="8"/>
        <v>1678.4614919723047</v>
      </c>
      <c r="F68" s="39">
        <f t="shared" ca="1" si="8"/>
        <v>1803.1107045855451</v>
      </c>
      <c r="G68" s="39">
        <f t="shared" ca="1" si="8"/>
        <v>1513.5100865927764</v>
      </c>
      <c r="H68" s="39">
        <f t="shared" ca="1" si="8"/>
        <v>5814</v>
      </c>
      <c r="I68" s="39">
        <f>-PMT($C$61,I$62,I60+I59)</f>
        <v>0</v>
      </c>
      <c r="J68" s="39">
        <f t="shared" si="8"/>
        <v>1512.9535459672236</v>
      </c>
      <c r="K68" s="39">
        <f t="shared" si="8"/>
        <v>1834.7015437587118</v>
      </c>
      <c r="L68" s="39">
        <f t="shared" si="8"/>
        <v>1473.0025173652323</v>
      </c>
      <c r="M68" s="39">
        <f t="shared" ref="M68" ca="1" si="9">-PMT($C$61,M$62,M60+M59)</f>
        <v>1919.1524826034267</v>
      </c>
      <c r="N68" s="15"/>
      <c r="O68" s="15"/>
      <c r="P68" s="15"/>
      <c r="Q68" s="15"/>
      <c r="R68" s="15"/>
      <c r="S68" s="15"/>
      <c r="T68" s="15"/>
      <c r="U68" s="15"/>
      <c r="V68" s="15"/>
      <c r="W68" s="15"/>
      <c r="X68" s="15"/>
      <c r="Y68" s="15"/>
      <c r="Z68" s="15"/>
      <c r="AA68" s="15"/>
    </row>
    <row r="69" spans="2:27" x14ac:dyDescent="0.25">
      <c r="B69" s="22" t="s">
        <v>134</v>
      </c>
      <c r="C69" s="39">
        <f t="shared" ref="C69:L69" si="10">C68*C62</f>
        <v>16859.360565901508</v>
      </c>
      <c r="D69" s="39">
        <f t="shared" ca="1" si="10"/>
        <v>9244.356094029321</v>
      </c>
      <c r="E69" s="39">
        <f t="shared" ca="1" si="10"/>
        <v>15106.153427750742</v>
      </c>
      <c r="F69" s="39">
        <f t="shared" ca="1" si="10"/>
        <v>10818.664227513271</v>
      </c>
      <c r="G69" s="39">
        <f t="shared" ca="1" si="10"/>
        <v>24216.161385484422</v>
      </c>
      <c r="H69" s="39">
        <f t="shared" ca="1" si="10"/>
        <v>5814</v>
      </c>
      <c r="I69" s="39">
        <f t="shared" si="10"/>
        <v>0</v>
      </c>
      <c r="J69" s="39">
        <f t="shared" si="10"/>
        <v>18155.442551606684</v>
      </c>
      <c r="K69" s="39">
        <f t="shared" si="10"/>
        <v>36694.030875174234</v>
      </c>
      <c r="L69" s="39">
        <f t="shared" si="10"/>
        <v>23568.040277843716</v>
      </c>
      <c r="M69" s="39">
        <f t="shared" ref="M69" ca="1" si="11">M68*M62</f>
        <v>11514.914895620561</v>
      </c>
      <c r="N69" s="15"/>
      <c r="O69" s="15"/>
      <c r="P69" s="15"/>
      <c r="Q69" s="15"/>
      <c r="R69" s="15"/>
      <c r="S69" s="15"/>
      <c r="T69" s="15"/>
      <c r="U69" s="15"/>
      <c r="V69" s="15"/>
      <c r="W69" s="15"/>
      <c r="X69" s="15"/>
      <c r="Y69" s="15"/>
      <c r="Z69" s="15"/>
      <c r="AA69" s="15"/>
    </row>
    <row r="70" spans="2:27" x14ac:dyDescent="0.25">
      <c r="B70" s="22" t="s">
        <v>136</v>
      </c>
      <c r="C70" s="39">
        <f>C66*C63</f>
        <v>20</v>
      </c>
      <c r="D70" s="39">
        <f t="shared" ref="D70:L70" si="12">D66*D63</f>
        <v>20</v>
      </c>
      <c r="E70" s="39">
        <f t="shared" si="12"/>
        <v>20</v>
      </c>
      <c r="F70" s="39">
        <f t="shared" si="12"/>
        <v>20</v>
      </c>
      <c r="G70" s="39">
        <f t="shared" si="12"/>
        <v>20</v>
      </c>
      <c r="H70" s="39">
        <f t="shared" si="12"/>
        <v>20</v>
      </c>
      <c r="I70" s="39">
        <f t="shared" si="12"/>
        <v>20</v>
      </c>
      <c r="J70" s="39">
        <f t="shared" si="12"/>
        <v>20</v>
      </c>
      <c r="K70" s="39">
        <f t="shared" si="12"/>
        <v>20</v>
      </c>
      <c r="L70" s="39">
        <f t="shared" si="12"/>
        <v>20</v>
      </c>
      <c r="M70" s="39">
        <f t="shared" ref="M70" si="13">M66*M63</f>
        <v>20</v>
      </c>
      <c r="N70" s="15"/>
      <c r="O70" s="15"/>
      <c r="P70" s="15"/>
      <c r="Q70" s="15"/>
      <c r="R70" s="15"/>
      <c r="S70" s="15"/>
      <c r="T70" s="15"/>
      <c r="U70" s="15"/>
      <c r="V70" s="15"/>
      <c r="W70" s="15"/>
      <c r="X70" s="15"/>
      <c r="Y70" s="15"/>
      <c r="Z70" s="15"/>
      <c r="AA70" s="15"/>
    </row>
    <row r="71" spans="2:27" x14ac:dyDescent="0.25">
      <c r="B71" s="22" t="s">
        <v>139</v>
      </c>
      <c r="C71" s="4">
        <f t="shared" ref="C71:K71" si="14">C70/C63*(C59+C60)/(1-C58)</f>
        <v>15000</v>
      </c>
      <c r="D71" s="4">
        <f t="shared" ca="1" si="14"/>
        <v>8800</v>
      </c>
      <c r="E71" s="4">
        <f t="shared" ca="1" si="14"/>
        <v>13700</v>
      </c>
      <c r="F71" s="4">
        <f t="shared" ca="1" si="14"/>
        <v>10100</v>
      </c>
      <c r="G71" s="4">
        <f t="shared" ca="1" si="14"/>
        <v>20550</v>
      </c>
      <c r="H71" s="4">
        <f t="shared" ca="1" si="14"/>
        <v>5700</v>
      </c>
      <c r="I71" s="4">
        <f t="shared" si="14"/>
        <v>0</v>
      </c>
      <c r="J71" s="4">
        <f t="shared" si="14"/>
        <v>16000</v>
      </c>
      <c r="K71" s="4">
        <f t="shared" si="14"/>
        <v>30000</v>
      </c>
      <c r="L71" s="4">
        <f>L70/L63*(L59+L60)/(1-L58)</f>
        <v>20000</v>
      </c>
      <c r="M71" s="4">
        <f t="shared" ref="M71" ca="1" si="15">M70/M63*(M59+M60)/(1-M58)</f>
        <v>10750</v>
      </c>
    </row>
    <row r="72" spans="2:27" x14ac:dyDescent="0.25">
      <c r="B72" s="22" t="s">
        <v>135</v>
      </c>
      <c r="C72" s="4">
        <f>IF(C64=1,0,IF(C64&lt;1,IF(C62&lt;20,C71,C71-(C67*C62-(20)*C67)),IF((20-C63)&gt;C62,C71,C71-(C69-(20-C63)*C68))))</f>
        <v>0</v>
      </c>
      <c r="D72" s="4">
        <f>IF(D64=1,0,IF(D64&lt;1,IF(D62&lt;20,D71,D71-(D67*D62-(20)*D67)),IF((20-D63)&gt;D62,D71,D71-(D69-(20-D63)*D68))))</f>
        <v>0</v>
      </c>
      <c r="E72" s="4">
        <f t="shared" ref="E72:L72" si="16">IF(E64=1,0,IF(E64&lt;1,IF(E62&lt;20,E71,E71-(E67*E62-(20)*E67)),IF((20-E63)&gt;E62,E71,E71-(E69-(20-E63)*E68))))</f>
        <v>0</v>
      </c>
      <c r="F72" s="4">
        <f t="shared" si="16"/>
        <v>0</v>
      </c>
      <c r="G72" s="4">
        <f t="shared" si="16"/>
        <v>0</v>
      </c>
      <c r="H72" s="4">
        <f t="shared" si="16"/>
        <v>0</v>
      </c>
      <c r="I72" s="4">
        <f t="shared" si="16"/>
        <v>0</v>
      </c>
      <c r="J72" s="4">
        <f t="shared" si="16"/>
        <v>0</v>
      </c>
      <c r="K72" s="4">
        <f t="shared" si="16"/>
        <v>0</v>
      </c>
      <c r="L72" s="4">
        <f t="shared" si="16"/>
        <v>0</v>
      </c>
      <c r="M72" s="4">
        <f t="shared" ref="M72" si="17">IF(M64=1,0,IF(M64&lt;1,IF(M62&lt;20,M71,M71-(M67*M62-(20)*M67)),IF((20-M63)&gt;M62,M71,M71-(M69-(20-M63)*M68))))</f>
        <v>0</v>
      </c>
    </row>
    <row r="73" spans="2:27" x14ac:dyDescent="0.25">
      <c r="B73" s="23" t="s">
        <v>33</v>
      </c>
      <c r="C73" s="81" t="s">
        <v>116</v>
      </c>
      <c r="L73" s="45"/>
      <c r="M73" s="45"/>
    </row>
    <row r="74" spans="2:27" x14ac:dyDescent="0.25">
      <c r="B74" s="50">
        <v>1</v>
      </c>
      <c r="C74" s="51">
        <f t="shared" ref="C74:L74" si="18">C67+C59</f>
        <v>5123.9573710601007</v>
      </c>
      <c r="D74" s="51">
        <f t="shared" ca="1" si="18"/>
        <v>5260.59401282218</v>
      </c>
      <c r="E74" s="51">
        <f t="shared" ca="1" si="18"/>
        <v>5188.3997424913396</v>
      </c>
      <c r="F74" s="51">
        <f t="shared" ca="1" si="18"/>
        <v>5089.007455244735</v>
      </c>
      <c r="G74" s="51">
        <f t="shared" ca="1" si="18"/>
        <v>5218.9095831197301</v>
      </c>
      <c r="H74" s="51">
        <f t="shared" ca="1" si="18"/>
        <v>5734</v>
      </c>
      <c r="I74" s="51">
        <f t="shared" si="18"/>
        <v>0</v>
      </c>
      <c r="J74" s="51">
        <f t="shared" si="18"/>
        <v>5134.7151594754177</v>
      </c>
      <c r="K74" s="51">
        <f t="shared" si="18"/>
        <v>5590.0746712575501</v>
      </c>
      <c r="L74" s="51">
        <f t="shared" si="18"/>
        <v>5178.402013892186</v>
      </c>
      <c r="M74" s="51">
        <f t="shared" ref="M74" ca="1" si="19">M67+M59</f>
        <v>5205.0492332626163</v>
      </c>
    </row>
    <row r="75" spans="2:27" x14ac:dyDescent="0.25">
      <c r="B75" s="50">
        <v>2</v>
      </c>
      <c r="C75" s="51">
        <f t="shared" ref="C75:M84" si="20">IF($B75-$B$74&lt;C$63,IF($B75-$B$74&lt;C$62,C$67,0),IF($B75-$B$74-C$63&lt;C$62,C$68,0))</f>
        <v>1123.9573710601005</v>
      </c>
      <c r="D75" s="51">
        <f t="shared" ca="1" si="20"/>
        <v>1260.59401282218</v>
      </c>
      <c r="E75" s="51">
        <f t="shared" ca="1" si="20"/>
        <v>1188.3997424913398</v>
      </c>
      <c r="F75" s="51">
        <f t="shared" ca="1" si="20"/>
        <v>1089.0074552447352</v>
      </c>
      <c r="G75" s="51">
        <f t="shared" ca="1" si="20"/>
        <v>1218.9095831197299</v>
      </c>
      <c r="H75" s="51">
        <f t="shared" ca="1" si="20"/>
        <v>0</v>
      </c>
      <c r="I75" s="51">
        <f t="shared" si="20"/>
        <v>0</v>
      </c>
      <c r="J75" s="51">
        <f t="shared" si="20"/>
        <v>1134.7151594754175</v>
      </c>
      <c r="K75" s="51">
        <f t="shared" si="20"/>
        <v>1590.0746712575503</v>
      </c>
      <c r="L75" s="51">
        <f t="shared" si="20"/>
        <v>1178.402013892186</v>
      </c>
      <c r="M75" s="51">
        <f t="shared" ca="1" si="20"/>
        <v>1205.0492332626168</v>
      </c>
    </row>
    <row r="76" spans="2:27" x14ac:dyDescent="0.25">
      <c r="B76" s="50">
        <v>3</v>
      </c>
      <c r="C76" s="51">
        <f t="shared" si="20"/>
        <v>1123.9573710601005</v>
      </c>
      <c r="D76" s="51">
        <f t="shared" ca="1" si="20"/>
        <v>1260.59401282218</v>
      </c>
      <c r="E76" s="51">
        <f t="shared" ca="1" si="20"/>
        <v>1188.3997424913398</v>
      </c>
      <c r="F76" s="51">
        <f t="shared" ca="1" si="20"/>
        <v>1089.0074552447352</v>
      </c>
      <c r="G76" s="51">
        <f t="shared" ca="1" si="20"/>
        <v>1218.9095831197299</v>
      </c>
      <c r="H76" s="51">
        <f t="shared" ca="1" si="20"/>
        <v>0</v>
      </c>
      <c r="I76" s="51">
        <f t="shared" si="20"/>
        <v>0</v>
      </c>
      <c r="J76" s="51">
        <f t="shared" si="20"/>
        <v>1134.7151594754175</v>
      </c>
      <c r="K76" s="51">
        <f t="shared" si="20"/>
        <v>1590.0746712575503</v>
      </c>
      <c r="L76" s="51">
        <f t="shared" si="20"/>
        <v>1178.402013892186</v>
      </c>
      <c r="M76" s="51">
        <f t="shared" ca="1" si="20"/>
        <v>1205.0492332626168</v>
      </c>
    </row>
    <row r="77" spans="2:27" x14ac:dyDescent="0.25">
      <c r="B77" s="50">
        <v>4</v>
      </c>
      <c r="C77" s="51">
        <f t="shared" si="20"/>
        <v>1123.9573710601005</v>
      </c>
      <c r="D77" s="51">
        <f t="shared" ca="1" si="20"/>
        <v>1260.59401282218</v>
      </c>
      <c r="E77" s="51">
        <f t="shared" ca="1" si="20"/>
        <v>1188.3997424913398</v>
      </c>
      <c r="F77" s="51">
        <f t="shared" ca="1" si="20"/>
        <v>1089.0074552447352</v>
      </c>
      <c r="G77" s="51">
        <f t="shared" ca="1" si="20"/>
        <v>1218.9095831197299</v>
      </c>
      <c r="H77" s="51">
        <f t="shared" ca="1" si="20"/>
        <v>0</v>
      </c>
      <c r="I77" s="51">
        <f t="shared" si="20"/>
        <v>0</v>
      </c>
      <c r="J77" s="51">
        <f t="shared" si="20"/>
        <v>1134.7151594754175</v>
      </c>
      <c r="K77" s="51">
        <f t="shared" si="20"/>
        <v>1590.0746712575503</v>
      </c>
      <c r="L77" s="51">
        <f t="shared" si="20"/>
        <v>1178.402013892186</v>
      </c>
      <c r="M77" s="51">
        <f t="shared" ca="1" si="20"/>
        <v>1205.0492332626168</v>
      </c>
    </row>
    <row r="78" spans="2:27" x14ac:dyDescent="0.25">
      <c r="B78" s="50">
        <v>5</v>
      </c>
      <c r="C78" s="51">
        <f t="shared" si="20"/>
        <v>1123.9573710601005</v>
      </c>
      <c r="D78" s="51">
        <f t="shared" ca="1" si="20"/>
        <v>0</v>
      </c>
      <c r="E78" s="51">
        <f t="shared" ca="1" si="20"/>
        <v>1188.3997424913398</v>
      </c>
      <c r="F78" s="51">
        <f t="shared" ca="1" si="20"/>
        <v>1089.0074552447352</v>
      </c>
      <c r="G78" s="51">
        <f t="shared" ca="1" si="20"/>
        <v>1218.9095831197299</v>
      </c>
      <c r="H78" s="51">
        <f t="shared" ca="1" si="20"/>
        <v>0</v>
      </c>
      <c r="I78" s="51">
        <f t="shared" si="20"/>
        <v>0</v>
      </c>
      <c r="J78" s="51">
        <f t="shared" si="20"/>
        <v>1134.7151594754175</v>
      </c>
      <c r="K78" s="51">
        <f t="shared" si="20"/>
        <v>1590.0746712575503</v>
      </c>
      <c r="L78" s="51">
        <f t="shared" si="20"/>
        <v>1178.402013892186</v>
      </c>
      <c r="M78" s="51">
        <f t="shared" ca="1" si="20"/>
        <v>1205.0492332626168</v>
      </c>
    </row>
    <row r="79" spans="2:27" x14ac:dyDescent="0.25">
      <c r="B79" s="50">
        <v>6</v>
      </c>
      <c r="C79" s="51">
        <f t="shared" si="20"/>
        <v>1123.9573710601005</v>
      </c>
      <c r="D79" s="51">
        <f t="shared" ca="1" si="20"/>
        <v>0</v>
      </c>
      <c r="E79" s="51">
        <f t="shared" ca="1" si="20"/>
        <v>1188.3997424913398</v>
      </c>
      <c r="F79" s="51">
        <f t="shared" ca="1" si="20"/>
        <v>1089.0074552447352</v>
      </c>
      <c r="G79" s="51">
        <f t="shared" ca="1" si="20"/>
        <v>1218.9095831197299</v>
      </c>
      <c r="H79" s="51">
        <f t="shared" ca="1" si="20"/>
        <v>0</v>
      </c>
      <c r="I79" s="51">
        <f t="shared" si="20"/>
        <v>0</v>
      </c>
      <c r="J79" s="51">
        <f t="shared" si="20"/>
        <v>1134.7151594754175</v>
      </c>
      <c r="K79" s="51">
        <f t="shared" si="20"/>
        <v>1590.0746712575503</v>
      </c>
      <c r="L79" s="51">
        <f t="shared" si="20"/>
        <v>1178.402013892186</v>
      </c>
      <c r="M79" s="51">
        <f t="shared" ca="1" si="20"/>
        <v>1205.0492332626168</v>
      </c>
    </row>
    <row r="80" spans="2:27" x14ac:dyDescent="0.25">
      <c r="B80" s="50">
        <v>7</v>
      </c>
      <c r="C80" s="51">
        <f t="shared" si="20"/>
        <v>1123.9573710601005</v>
      </c>
      <c r="D80" s="51">
        <f t="shared" ca="1" si="20"/>
        <v>0</v>
      </c>
      <c r="E80" s="51">
        <f t="shared" ca="1" si="20"/>
        <v>1188.3997424913398</v>
      </c>
      <c r="F80" s="51">
        <f t="shared" ca="1" si="20"/>
        <v>0</v>
      </c>
      <c r="G80" s="51">
        <f t="shared" ca="1" si="20"/>
        <v>1218.9095831197299</v>
      </c>
      <c r="H80" s="51">
        <f t="shared" ca="1" si="20"/>
        <v>0</v>
      </c>
      <c r="I80" s="51">
        <f t="shared" si="20"/>
        <v>0</v>
      </c>
      <c r="J80" s="51">
        <f t="shared" si="20"/>
        <v>1134.7151594754175</v>
      </c>
      <c r="K80" s="51">
        <f t="shared" si="20"/>
        <v>1590.0746712575503</v>
      </c>
      <c r="L80" s="51">
        <f t="shared" si="20"/>
        <v>1178.402013892186</v>
      </c>
      <c r="M80" s="51">
        <f t="shared" ca="1" si="20"/>
        <v>0</v>
      </c>
    </row>
    <row r="81" spans="2:13" x14ac:dyDescent="0.25">
      <c r="B81" s="50">
        <v>8</v>
      </c>
      <c r="C81" s="51">
        <f t="shared" si="20"/>
        <v>1123.9573710601005</v>
      </c>
      <c r="D81" s="51">
        <f t="shared" ca="1" si="20"/>
        <v>0</v>
      </c>
      <c r="E81" s="51">
        <f t="shared" ca="1" si="20"/>
        <v>1188.3997424913398</v>
      </c>
      <c r="F81" s="51">
        <f t="shared" ca="1" si="20"/>
        <v>0</v>
      </c>
      <c r="G81" s="51">
        <f t="shared" ca="1" si="20"/>
        <v>1218.9095831197299</v>
      </c>
      <c r="H81" s="51">
        <f t="shared" ca="1" si="20"/>
        <v>0</v>
      </c>
      <c r="I81" s="51">
        <f t="shared" si="20"/>
        <v>0</v>
      </c>
      <c r="J81" s="51">
        <f t="shared" si="20"/>
        <v>1134.7151594754175</v>
      </c>
      <c r="K81" s="51">
        <f t="shared" si="20"/>
        <v>1590.0746712575503</v>
      </c>
      <c r="L81" s="51">
        <f t="shared" si="20"/>
        <v>1178.402013892186</v>
      </c>
      <c r="M81" s="51">
        <f t="shared" ca="1" si="20"/>
        <v>0</v>
      </c>
    </row>
    <row r="82" spans="2:13" x14ac:dyDescent="0.25">
      <c r="B82" s="50">
        <v>9</v>
      </c>
      <c r="C82" s="51">
        <f t="shared" si="20"/>
        <v>1123.9573710601005</v>
      </c>
      <c r="D82" s="51">
        <f t="shared" ca="1" si="20"/>
        <v>0</v>
      </c>
      <c r="E82" s="51">
        <f t="shared" ca="1" si="20"/>
        <v>1188.3997424913398</v>
      </c>
      <c r="F82" s="51">
        <f t="shared" ca="1" si="20"/>
        <v>0</v>
      </c>
      <c r="G82" s="51">
        <f t="shared" ca="1" si="20"/>
        <v>1218.9095831197299</v>
      </c>
      <c r="H82" s="51">
        <f t="shared" ca="1" si="20"/>
        <v>0</v>
      </c>
      <c r="I82" s="51">
        <f t="shared" si="20"/>
        <v>0</v>
      </c>
      <c r="J82" s="51">
        <f t="shared" si="20"/>
        <v>1134.7151594754175</v>
      </c>
      <c r="K82" s="51">
        <f t="shared" si="20"/>
        <v>1590.0746712575503</v>
      </c>
      <c r="L82" s="51">
        <f t="shared" si="20"/>
        <v>1178.402013892186</v>
      </c>
      <c r="M82" s="51">
        <f t="shared" ca="1" si="20"/>
        <v>0</v>
      </c>
    </row>
    <row r="83" spans="2:13" x14ac:dyDescent="0.25">
      <c r="B83" s="50">
        <v>10</v>
      </c>
      <c r="C83" s="51">
        <f t="shared" si="20"/>
        <v>1123.9573710601005</v>
      </c>
      <c r="D83" s="51">
        <f t="shared" ca="1" si="20"/>
        <v>0</v>
      </c>
      <c r="E83" s="51">
        <f t="shared" ca="1" si="20"/>
        <v>0</v>
      </c>
      <c r="F83" s="51">
        <f t="shared" ca="1" si="20"/>
        <v>0</v>
      </c>
      <c r="G83" s="51">
        <f t="shared" ca="1" si="20"/>
        <v>1218.9095831197299</v>
      </c>
      <c r="H83" s="51">
        <f t="shared" ca="1" si="20"/>
        <v>0</v>
      </c>
      <c r="I83" s="51">
        <f t="shared" si="20"/>
        <v>0</v>
      </c>
      <c r="J83" s="51">
        <f t="shared" si="20"/>
        <v>1134.7151594754175</v>
      </c>
      <c r="K83" s="51">
        <f t="shared" si="20"/>
        <v>1590.0746712575503</v>
      </c>
      <c r="L83" s="51">
        <f t="shared" si="20"/>
        <v>1178.402013892186</v>
      </c>
      <c r="M83" s="51">
        <f t="shared" ca="1" si="20"/>
        <v>0</v>
      </c>
    </row>
    <row r="84" spans="2:13" x14ac:dyDescent="0.25">
      <c r="B84" s="50">
        <v>11</v>
      </c>
      <c r="C84" s="51">
        <f t="shared" si="20"/>
        <v>1123.9573710601005</v>
      </c>
      <c r="D84" s="51">
        <f t="shared" ca="1" si="20"/>
        <v>0</v>
      </c>
      <c r="E84" s="51">
        <f t="shared" ca="1" si="20"/>
        <v>0</v>
      </c>
      <c r="F84" s="51">
        <f t="shared" ca="1" si="20"/>
        <v>0</v>
      </c>
      <c r="G84" s="51">
        <f t="shared" ca="1" si="20"/>
        <v>1218.9095831197299</v>
      </c>
      <c r="H84" s="51">
        <f t="shared" ca="1" si="20"/>
        <v>0</v>
      </c>
      <c r="I84" s="51">
        <f t="shared" si="20"/>
        <v>0</v>
      </c>
      <c r="J84" s="51">
        <f t="shared" si="20"/>
        <v>1134.7151594754175</v>
      </c>
      <c r="K84" s="51">
        <f t="shared" si="20"/>
        <v>1590.0746712575503</v>
      </c>
      <c r="L84" s="51">
        <f t="shared" si="20"/>
        <v>1178.402013892186</v>
      </c>
      <c r="M84" s="51">
        <f t="shared" ca="1" si="20"/>
        <v>0</v>
      </c>
    </row>
    <row r="85" spans="2:13" x14ac:dyDescent="0.25">
      <c r="B85" s="50">
        <v>12</v>
      </c>
      <c r="C85" s="51">
        <f t="shared" ref="C85:M92" si="21">IF($B85-$B$74&lt;C$63,IF($B85-$B$74&lt;C$62,C$67,0),IF($B85-$B$74-C$63&lt;C$62,C$68,0))</f>
        <v>0</v>
      </c>
      <c r="D85" s="51">
        <f t="shared" ca="1" si="21"/>
        <v>0</v>
      </c>
      <c r="E85" s="51">
        <f t="shared" ca="1" si="21"/>
        <v>0</v>
      </c>
      <c r="F85" s="51">
        <f t="shared" ca="1" si="21"/>
        <v>0</v>
      </c>
      <c r="G85" s="51">
        <f t="shared" ca="1" si="21"/>
        <v>1218.9095831197299</v>
      </c>
      <c r="H85" s="51">
        <f t="shared" ca="1" si="21"/>
        <v>0</v>
      </c>
      <c r="I85" s="51">
        <f t="shared" si="21"/>
        <v>0</v>
      </c>
      <c r="J85" s="51">
        <f t="shared" si="21"/>
        <v>1134.7151594754175</v>
      </c>
      <c r="K85" s="51">
        <f t="shared" si="21"/>
        <v>1590.0746712575503</v>
      </c>
      <c r="L85" s="51">
        <f t="shared" si="21"/>
        <v>1178.402013892186</v>
      </c>
      <c r="M85" s="51">
        <f t="shared" ca="1" si="21"/>
        <v>0</v>
      </c>
    </row>
    <row r="86" spans="2:13" x14ac:dyDescent="0.25">
      <c r="B86" s="50">
        <v>13</v>
      </c>
      <c r="C86" s="51">
        <f t="shared" si="21"/>
        <v>0</v>
      </c>
      <c r="D86" s="51">
        <f t="shared" ca="1" si="21"/>
        <v>0</v>
      </c>
      <c r="E86" s="51">
        <f t="shared" ca="1" si="21"/>
        <v>0</v>
      </c>
      <c r="F86" s="51">
        <f t="shared" ca="1" si="21"/>
        <v>0</v>
      </c>
      <c r="G86" s="51">
        <f t="shared" ca="1" si="21"/>
        <v>1218.9095831197299</v>
      </c>
      <c r="H86" s="51">
        <f t="shared" ca="1" si="21"/>
        <v>0</v>
      </c>
      <c r="I86" s="51">
        <f t="shared" si="21"/>
        <v>0</v>
      </c>
      <c r="J86" s="51">
        <f t="shared" si="21"/>
        <v>0</v>
      </c>
      <c r="K86" s="51">
        <f t="shared" si="21"/>
        <v>1590.0746712575503</v>
      </c>
      <c r="L86" s="51">
        <f t="shared" si="21"/>
        <v>1178.402013892186</v>
      </c>
      <c r="M86" s="51">
        <f t="shared" ca="1" si="21"/>
        <v>0</v>
      </c>
    </row>
    <row r="87" spans="2:13" x14ac:dyDescent="0.25">
      <c r="B87" s="50">
        <v>14</v>
      </c>
      <c r="C87" s="51">
        <f t="shared" si="21"/>
        <v>0</v>
      </c>
      <c r="D87" s="51">
        <f t="shared" ca="1" si="21"/>
        <v>0</v>
      </c>
      <c r="E87" s="51">
        <f t="shared" ca="1" si="21"/>
        <v>0</v>
      </c>
      <c r="F87" s="51">
        <f t="shared" ca="1" si="21"/>
        <v>0</v>
      </c>
      <c r="G87" s="51">
        <f t="shared" ca="1" si="21"/>
        <v>1218.9095831197299</v>
      </c>
      <c r="H87" s="51">
        <f t="shared" ca="1" si="21"/>
        <v>0</v>
      </c>
      <c r="I87" s="51">
        <f t="shared" si="21"/>
        <v>0</v>
      </c>
      <c r="J87" s="51">
        <f t="shared" si="21"/>
        <v>0</v>
      </c>
      <c r="K87" s="51">
        <f t="shared" si="21"/>
        <v>1590.0746712575503</v>
      </c>
      <c r="L87" s="51">
        <f t="shared" si="21"/>
        <v>1178.402013892186</v>
      </c>
      <c r="M87" s="51">
        <f t="shared" ca="1" si="21"/>
        <v>0</v>
      </c>
    </row>
    <row r="88" spans="2:13" x14ac:dyDescent="0.25">
      <c r="B88" s="50">
        <v>15</v>
      </c>
      <c r="C88" s="51">
        <f t="shared" si="21"/>
        <v>0</v>
      </c>
      <c r="D88" s="51">
        <f t="shared" ca="1" si="21"/>
        <v>0</v>
      </c>
      <c r="E88" s="51">
        <f t="shared" ca="1" si="21"/>
        <v>0</v>
      </c>
      <c r="F88" s="51">
        <f t="shared" ca="1" si="21"/>
        <v>0</v>
      </c>
      <c r="G88" s="51">
        <f t="shared" ca="1" si="21"/>
        <v>1218.9095831197299</v>
      </c>
      <c r="H88" s="51">
        <f t="shared" ca="1" si="21"/>
        <v>0</v>
      </c>
      <c r="I88" s="51">
        <f t="shared" si="21"/>
        <v>0</v>
      </c>
      <c r="J88" s="51">
        <f t="shared" si="21"/>
        <v>0</v>
      </c>
      <c r="K88" s="51">
        <f t="shared" si="21"/>
        <v>1590.0746712575503</v>
      </c>
      <c r="L88" s="51">
        <f t="shared" si="21"/>
        <v>1178.402013892186</v>
      </c>
      <c r="M88" s="51">
        <f t="shared" ca="1" si="21"/>
        <v>0</v>
      </c>
    </row>
    <row r="89" spans="2:13" x14ac:dyDescent="0.25">
      <c r="B89" s="50">
        <v>16</v>
      </c>
      <c r="C89" s="51">
        <f t="shared" si="21"/>
        <v>0</v>
      </c>
      <c r="D89" s="51">
        <f t="shared" ca="1" si="21"/>
        <v>0</v>
      </c>
      <c r="E89" s="51">
        <f t="shared" ca="1" si="21"/>
        <v>0</v>
      </c>
      <c r="F89" s="51">
        <f t="shared" ca="1" si="21"/>
        <v>0</v>
      </c>
      <c r="G89" s="51">
        <f t="shared" ca="1" si="21"/>
        <v>1218.9095831197299</v>
      </c>
      <c r="H89" s="51">
        <f t="shared" ca="1" si="21"/>
        <v>0</v>
      </c>
      <c r="I89" s="51">
        <f t="shared" si="21"/>
        <v>0</v>
      </c>
      <c r="J89" s="51">
        <f t="shared" si="21"/>
        <v>0</v>
      </c>
      <c r="K89" s="51">
        <f t="shared" si="21"/>
        <v>1590.0746712575503</v>
      </c>
      <c r="L89" s="51">
        <f t="shared" si="21"/>
        <v>1178.402013892186</v>
      </c>
      <c r="M89" s="51">
        <f t="shared" ca="1" si="21"/>
        <v>0</v>
      </c>
    </row>
    <row r="90" spans="2:13" x14ac:dyDescent="0.25">
      <c r="B90" s="50">
        <v>17</v>
      </c>
      <c r="C90" s="51">
        <f t="shared" si="21"/>
        <v>0</v>
      </c>
      <c r="D90" s="51">
        <f t="shared" ca="1" si="21"/>
        <v>0</v>
      </c>
      <c r="E90" s="51">
        <f t="shared" ca="1" si="21"/>
        <v>0</v>
      </c>
      <c r="F90" s="51">
        <f t="shared" ca="1" si="21"/>
        <v>0</v>
      </c>
      <c r="G90" s="51">
        <f t="shared" ca="1" si="21"/>
        <v>0</v>
      </c>
      <c r="H90" s="51">
        <f t="shared" ca="1" si="21"/>
        <v>0</v>
      </c>
      <c r="I90" s="51">
        <f t="shared" si="21"/>
        <v>0</v>
      </c>
      <c r="J90" s="51">
        <f t="shared" si="21"/>
        <v>0</v>
      </c>
      <c r="K90" s="51">
        <f t="shared" si="21"/>
        <v>1590.0746712575503</v>
      </c>
      <c r="L90" s="51">
        <f t="shared" si="21"/>
        <v>0</v>
      </c>
      <c r="M90" s="51">
        <f t="shared" ca="1" si="21"/>
        <v>0</v>
      </c>
    </row>
    <row r="91" spans="2:13" x14ac:dyDescent="0.25">
      <c r="B91" s="50">
        <v>18</v>
      </c>
      <c r="C91" s="51">
        <f t="shared" si="21"/>
        <v>0</v>
      </c>
      <c r="D91" s="51">
        <f t="shared" ca="1" si="21"/>
        <v>0</v>
      </c>
      <c r="E91" s="51">
        <f t="shared" ca="1" si="21"/>
        <v>0</v>
      </c>
      <c r="F91" s="51">
        <f t="shared" ca="1" si="21"/>
        <v>0</v>
      </c>
      <c r="G91" s="51">
        <f t="shared" ca="1" si="21"/>
        <v>0</v>
      </c>
      <c r="H91" s="51">
        <f t="shared" ca="1" si="21"/>
        <v>0</v>
      </c>
      <c r="I91" s="51">
        <f t="shared" si="21"/>
        <v>0</v>
      </c>
      <c r="J91" s="51">
        <f t="shared" si="21"/>
        <v>0</v>
      </c>
      <c r="K91" s="51">
        <f t="shared" si="21"/>
        <v>1590.0746712575503</v>
      </c>
      <c r="L91" s="51">
        <f t="shared" si="21"/>
        <v>0</v>
      </c>
      <c r="M91" s="51">
        <f t="shared" ca="1" si="21"/>
        <v>0</v>
      </c>
    </row>
    <row r="92" spans="2:13" x14ac:dyDescent="0.25">
      <c r="B92" s="50">
        <v>19</v>
      </c>
      <c r="C92" s="51">
        <f t="shared" si="21"/>
        <v>0</v>
      </c>
      <c r="D92" s="51">
        <f t="shared" ca="1" si="21"/>
        <v>0</v>
      </c>
      <c r="E92" s="51">
        <f t="shared" ca="1" si="21"/>
        <v>0</v>
      </c>
      <c r="F92" s="51">
        <f t="shared" ca="1" si="21"/>
        <v>0</v>
      </c>
      <c r="G92" s="51">
        <f t="shared" ca="1" si="21"/>
        <v>0</v>
      </c>
      <c r="H92" s="51">
        <f t="shared" ca="1" si="21"/>
        <v>0</v>
      </c>
      <c r="I92" s="51">
        <f t="shared" si="21"/>
        <v>0</v>
      </c>
      <c r="J92" s="51">
        <f t="shared" si="21"/>
        <v>0</v>
      </c>
      <c r="K92" s="51">
        <f t="shared" si="21"/>
        <v>1590.0746712575503</v>
      </c>
      <c r="L92" s="51">
        <f t="shared" si="21"/>
        <v>0</v>
      </c>
      <c r="M92" s="51">
        <f t="shared" ca="1" si="21"/>
        <v>0</v>
      </c>
    </row>
    <row r="93" spans="2:13" x14ac:dyDescent="0.25">
      <c r="B93" s="50">
        <v>20</v>
      </c>
      <c r="C93" s="51">
        <f t="shared" ref="C93:L93" si="22">IF($B93-$B$74&lt;C$63,IF($B93-$B$74&lt;C$62,C$67,0),IF($B93-$B$74-C$63&lt;C$62,C$68,0))-C72</f>
        <v>0</v>
      </c>
      <c r="D93" s="51">
        <f t="shared" ca="1" si="22"/>
        <v>0</v>
      </c>
      <c r="E93" s="51">
        <f t="shared" ca="1" si="22"/>
        <v>0</v>
      </c>
      <c r="F93" s="51">
        <f t="shared" ca="1" si="22"/>
        <v>0</v>
      </c>
      <c r="G93" s="51">
        <f t="shared" ca="1" si="22"/>
        <v>0</v>
      </c>
      <c r="H93" s="51">
        <f t="shared" ca="1" si="22"/>
        <v>0</v>
      </c>
      <c r="I93" s="51">
        <f t="shared" si="22"/>
        <v>0</v>
      </c>
      <c r="J93" s="51">
        <f t="shared" si="22"/>
        <v>0</v>
      </c>
      <c r="K93" s="51">
        <f t="shared" si="22"/>
        <v>1590.0746712575503</v>
      </c>
      <c r="L93" s="51">
        <f t="shared" si="22"/>
        <v>0</v>
      </c>
      <c r="M93" s="51">
        <f t="shared" ref="M93" ca="1" si="23">IF($B93-$B$74&lt;M$63,IF($B93-$B$74&lt;M$62,M$67,0),IF($B93-$B$74-M$63&lt;M$62,M$68,0))-M72</f>
        <v>0</v>
      </c>
    </row>
    <row r="94" spans="2:13" x14ac:dyDescent="0.25">
      <c r="B94" s="15"/>
      <c r="C94" s="15"/>
      <c r="D94" s="15"/>
      <c r="E94" s="15"/>
      <c r="F94" s="15"/>
      <c r="G94" s="15"/>
      <c r="H94" s="15"/>
      <c r="I94" s="15"/>
      <c r="J94" s="15"/>
      <c r="K94" s="15"/>
      <c r="M94" s="15"/>
    </row>
    <row r="95" spans="2:13" x14ac:dyDescent="0.25">
      <c r="B95" s="12"/>
      <c r="C95" s="15"/>
      <c r="D95" s="15"/>
      <c r="E95" s="15"/>
      <c r="F95" s="15"/>
      <c r="G95" s="15"/>
      <c r="H95" s="15"/>
      <c r="I95" s="15"/>
      <c r="J95" s="15"/>
      <c r="K95" s="15"/>
      <c r="M95" s="15"/>
    </row>
    <row r="96" spans="2:13" x14ac:dyDescent="0.25">
      <c r="B96" s="12"/>
      <c r="C96" s="15"/>
      <c r="D96" s="15"/>
      <c r="E96" s="15"/>
      <c r="F96" s="15"/>
      <c r="G96" s="15"/>
      <c r="H96" s="15"/>
      <c r="I96" s="15"/>
      <c r="J96" s="15"/>
      <c r="K96" s="15"/>
      <c r="M96" s="15"/>
    </row>
    <row r="97" spans="1:13" x14ac:dyDescent="0.25">
      <c r="B97" s="12"/>
      <c r="C97" s="15"/>
      <c r="F97" s="15"/>
      <c r="G97" s="15"/>
      <c r="H97" s="15"/>
      <c r="I97" s="15"/>
      <c r="J97" s="15"/>
      <c r="K97" s="15"/>
      <c r="M97" s="15"/>
    </row>
    <row r="98" spans="1:13" x14ac:dyDescent="0.25">
      <c r="B98" s="15"/>
      <c r="C98" s="15"/>
      <c r="D98" s="78"/>
      <c r="E98" s="78"/>
      <c r="F98" s="15"/>
      <c r="G98" s="15"/>
      <c r="H98" s="15"/>
      <c r="I98" s="15"/>
      <c r="J98" s="15"/>
      <c r="K98" s="15"/>
      <c r="M98" s="15"/>
    </row>
    <row r="99" spans="1:13" x14ac:dyDescent="0.25">
      <c r="C99" s="38"/>
      <c r="M99" s="15"/>
    </row>
    <row r="100" spans="1:13" x14ac:dyDescent="0.25">
      <c r="M100" s="15"/>
    </row>
    <row r="101" spans="1:13" x14ac:dyDescent="0.25">
      <c r="A101" s="20" t="str">
        <f ca="1">'Boundary conditions'!L3</f>
        <v>[EUR]</v>
      </c>
      <c r="B101" t="s">
        <v>122</v>
      </c>
      <c r="C101" s="20">
        <f>SUM(C74:C93)</f>
        <v>16363.531081661102</v>
      </c>
      <c r="D101" s="20">
        <f ca="1">SUM(D74:D93)</f>
        <v>9042.3760512887202</v>
      </c>
      <c r="E101" s="20">
        <f t="shared" ref="E101:L101" ca="1" si="24">SUM(E74:E93)</f>
        <v>14695.597682422056</v>
      </c>
      <c r="F101" s="20">
        <f t="shared" ca="1" si="24"/>
        <v>10534.04473146841</v>
      </c>
      <c r="G101" s="20">
        <f t="shared" ca="1" si="24"/>
        <v>23502.553329915681</v>
      </c>
      <c r="H101" s="20">
        <f t="shared" ca="1" si="24"/>
        <v>5734</v>
      </c>
      <c r="I101" s="20">
        <f t="shared" si="24"/>
        <v>0</v>
      </c>
      <c r="J101" s="20">
        <f t="shared" si="24"/>
        <v>17616.581913705013</v>
      </c>
      <c r="K101" s="20">
        <f t="shared" si="24"/>
        <v>35801.493425150999</v>
      </c>
      <c r="L101" s="20">
        <f t="shared" si="24"/>
        <v>22854.432222274969</v>
      </c>
      <c r="M101" s="20">
        <f t="shared" ref="M101" ca="1" si="25">SUM(M74:M93)</f>
        <v>11230.295399575698</v>
      </c>
    </row>
    <row r="102" spans="1:13" x14ac:dyDescent="0.25">
      <c r="A102" s="20" t="str">
        <f ca="1">INDIRECT(ADDRESS(HelpSheet!B16,HelpSheet!F26,1,1,"HelpSheet"))</f>
        <v>[EUR/a]</v>
      </c>
      <c r="B102" s="12" t="s">
        <v>117</v>
      </c>
      <c r="C102" s="20">
        <f t="shared" ref="C102:L102" si="26">C101/$B93</f>
        <v>818.17655408305507</v>
      </c>
      <c r="D102" s="20">
        <f ca="1">D101/$B93</f>
        <v>452.11880256443601</v>
      </c>
      <c r="E102" s="20">
        <f t="shared" ca="1" si="26"/>
        <v>734.77988412110278</v>
      </c>
      <c r="F102" s="20">
        <f t="shared" ca="1" si="26"/>
        <v>526.70223657342046</v>
      </c>
      <c r="G102" s="20">
        <f t="shared" ca="1" si="26"/>
        <v>1175.1276664957841</v>
      </c>
      <c r="H102" s="20">
        <f t="shared" ca="1" si="26"/>
        <v>286.7</v>
      </c>
      <c r="I102" s="20">
        <f t="shared" si="26"/>
        <v>0</v>
      </c>
      <c r="J102" s="20">
        <f t="shared" si="26"/>
        <v>880.82909568525065</v>
      </c>
      <c r="K102" s="20">
        <f t="shared" si="26"/>
        <v>1790.0746712575499</v>
      </c>
      <c r="L102" s="20">
        <f t="shared" si="26"/>
        <v>1142.7216111137484</v>
      </c>
      <c r="M102" s="20">
        <f t="shared" ref="M102" ca="1" si="27">M101/$B93</f>
        <v>561.5147699787849</v>
      </c>
    </row>
    <row r="103" spans="1:13" x14ac:dyDescent="0.25">
      <c r="K103" s="15"/>
      <c r="M103" s="15"/>
    </row>
    <row r="104" spans="1:13" x14ac:dyDescent="0.25">
      <c r="K104" s="20"/>
      <c r="M104" s="15"/>
    </row>
    <row r="105" spans="1:13" x14ac:dyDescent="0.25">
      <c r="C105" s="20"/>
      <c r="D105" s="20"/>
      <c r="E105" s="20"/>
      <c r="F105" s="20"/>
      <c r="G105" s="20"/>
      <c r="H105" s="20"/>
      <c r="I105" s="20"/>
      <c r="J105" s="20"/>
      <c r="K105" s="20"/>
      <c r="M105" s="15"/>
    </row>
    <row r="106" spans="1:13" x14ac:dyDescent="0.25">
      <c r="D106" s="20"/>
      <c r="E106" s="20"/>
      <c r="F106" s="20"/>
      <c r="G106" s="20"/>
      <c r="H106" s="20"/>
      <c r="I106" s="20"/>
      <c r="J106" s="20"/>
      <c r="K106" s="20"/>
      <c r="L106" s="20"/>
      <c r="M106" s="20"/>
    </row>
    <row r="107" spans="1:13" x14ac:dyDescent="0.25">
      <c r="A107" s="20"/>
      <c r="C107" s="20"/>
      <c r="D107" s="20"/>
      <c r="E107" s="20"/>
      <c r="F107" s="20"/>
      <c r="G107" s="20"/>
      <c r="H107" s="20"/>
      <c r="I107" s="20"/>
      <c r="J107" s="20"/>
      <c r="K107" s="20"/>
      <c r="L107" s="20"/>
      <c r="M107" s="20"/>
    </row>
    <row r="108" spans="1:13" x14ac:dyDescent="0.25">
      <c r="B108" s="80" t="s">
        <v>194</v>
      </c>
      <c r="C108" s="79"/>
      <c r="D108" s="79"/>
      <c r="E108" s="79"/>
      <c r="F108" s="79"/>
      <c r="G108" s="79"/>
      <c r="H108" s="79"/>
      <c r="I108" s="79"/>
      <c r="J108" s="79"/>
      <c r="K108" s="79"/>
      <c r="L108" s="79"/>
      <c r="M108" s="79"/>
    </row>
    <row r="109" spans="1:13" x14ac:dyDescent="0.25">
      <c r="A109" s="105" t="s">
        <v>195</v>
      </c>
      <c r="B109" s="19" t="s">
        <v>154</v>
      </c>
      <c r="C109" s="19" t="s">
        <v>149</v>
      </c>
      <c r="D109" s="19" t="s">
        <v>11</v>
      </c>
      <c r="E109" s="19" t="s">
        <v>12</v>
      </c>
      <c r="F109" s="19" t="s">
        <v>24</v>
      </c>
      <c r="G109" s="19" t="s">
        <v>13</v>
      </c>
      <c r="H109" s="19" t="s">
        <v>7</v>
      </c>
      <c r="I109" s="19" t="s">
        <v>23</v>
      </c>
      <c r="J109" s="19" t="s">
        <v>119</v>
      </c>
      <c r="K109" s="19" t="s">
        <v>118</v>
      </c>
      <c r="L109" s="19" t="s">
        <v>144</v>
      </c>
      <c r="M109" s="19" t="s">
        <v>144</v>
      </c>
    </row>
    <row r="110" spans="1:13" x14ac:dyDescent="0.25">
      <c r="A110" s="50">
        <v>1</v>
      </c>
      <c r="B110" s="4">
        <f ca="1">C74+Results!$C$8</f>
        <v>7443.9573710601007</v>
      </c>
      <c r="C110" s="4">
        <f ca="1">Results!$D$7</f>
        <v>1886.8</v>
      </c>
      <c r="D110" s="4">
        <f ca="1">D74+Results!E$8</f>
        <v>6628.1380598544638</v>
      </c>
      <c r="E110" s="4">
        <f ca="1">E74+Results!F$8</f>
        <v>7134.922780507135</v>
      </c>
      <c r="F110" s="4">
        <f ca="1">F74+Results!G$8</f>
        <v>7622.9427710049431</v>
      </c>
      <c r="G110" s="4">
        <f ca="1">G74+Results!H$8</f>
        <v>6519.2923242499364</v>
      </c>
      <c r="H110" s="4">
        <f ca="1">H74+Results!I$8</f>
        <v>9152.6434963652355</v>
      </c>
      <c r="I110" s="4">
        <f ca="1">I74+Results!J$8</f>
        <v>3238.7148912933803</v>
      </c>
      <c r="J110" s="4">
        <f ca="1">J74+Results!K$8</f>
        <v>6180.371220599287</v>
      </c>
      <c r="K110" s="4">
        <f ca="1">K74+Results!L$8</f>
        <v>6501.779791870772</v>
      </c>
      <c r="L110" s="4">
        <f ca="1">L74+Results!M$8</f>
        <v>6139.8954972449083</v>
      </c>
      <c r="M110" s="4">
        <f ca="1">M74+Results!N$8</f>
        <v>6420.6439417357578</v>
      </c>
    </row>
    <row r="111" spans="1:13" x14ac:dyDescent="0.25">
      <c r="A111" s="50">
        <v>2</v>
      </c>
      <c r="B111" s="4">
        <f ca="1">C75+Results!$C$8+B110</f>
        <v>10887.914742120201</v>
      </c>
      <c r="C111" s="4">
        <f ca="1">C110+Results!$D$7</f>
        <v>3773.6</v>
      </c>
      <c r="D111" s="4">
        <f ca="1">D75+Results!E$8+D110</f>
        <v>9256.2761197089276</v>
      </c>
      <c r="E111" s="4">
        <f ca="1">E75+Results!F$8+E110</f>
        <v>10269.84556101427</v>
      </c>
      <c r="F111" s="4">
        <f ca="1">F75+Results!G$8+F110</f>
        <v>11245.885542009886</v>
      </c>
      <c r="G111" s="4">
        <f ca="1">G75+Results!H$8+G110</f>
        <v>9038.5846484998729</v>
      </c>
      <c r="H111" s="4">
        <f ca="1">H75+Results!I$8+H110</f>
        <v>12571.286992730471</v>
      </c>
      <c r="I111" s="4">
        <f ca="1">I75+Results!J$8+I110</f>
        <v>6477.4297825867607</v>
      </c>
      <c r="J111" s="4">
        <f ca="1">J75+Results!K$8+J110</f>
        <v>8360.7424411985739</v>
      </c>
      <c r="K111" s="4">
        <f ca="1">K75+Results!L$8+K110</f>
        <v>9003.559583741544</v>
      </c>
      <c r="L111" s="4">
        <f ca="1">L75+Results!M$8+L110</f>
        <v>8279.7909944898165</v>
      </c>
      <c r="M111" s="4">
        <f ca="1">M75+Results!N$8+M110</f>
        <v>8841.2878834715157</v>
      </c>
    </row>
    <row r="112" spans="1:13" x14ac:dyDescent="0.25">
      <c r="A112" s="50">
        <v>3</v>
      </c>
      <c r="B112" s="4">
        <f ca="1">C76+Results!$C$8+B111</f>
        <v>14331.872113180303</v>
      </c>
      <c r="C112" s="4">
        <f ca="1">C111+Results!$D$7</f>
        <v>5660.4</v>
      </c>
      <c r="D112" s="4">
        <f ca="1">D76+Results!E$8+D111</f>
        <v>11884.414179563391</v>
      </c>
      <c r="E112" s="4">
        <f ca="1">E76+Results!F$8+E111</f>
        <v>13404.768341521405</v>
      </c>
      <c r="F112" s="4">
        <f ca="1">F76+Results!G$8+F111</f>
        <v>14868.82831301483</v>
      </c>
      <c r="G112" s="4">
        <f ca="1">G76+Results!H$8+G111</f>
        <v>11557.876972749807</v>
      </c>
      <c r="H112" s="4">
        <f ca="1">H76+Results!I$8+H111</f>
        <v>15989.930489095706</v>
      </c>
      <c r="I112" s="4">
        <f ca="1">I76+Results!J$8+I111</f>
        <v>9716.1446738801405</v>
      </c>
      <c r="J112" s="4">
        <f ca="1">J76+Results!K$8+J111</f>
        <v>10541.113661797859</v>
      </c>
      <c r="K112" s="4">
        <f ca="1">K76+Results!L$8+K111</f>
        <v>11505.339375612317</v>
      </c>
      <c r="L112" s="4">
        <f ca="1">L76+Results!M$8+L111</f>
        <v>10419.686491734725</v>
      </c>
      <c r="M112" s="4">
        <f ca="1">M76+Results!N$8+M111</f>
        <v>11261.931825207274</v>
      </c>
    </row>
    <row r="113" spans="1:13" x14ac:dyDescent="0.25">
      <c r="A113" s="50">
        <v>4</v>
      </c>
      <c r="B113" s="4">
        <f ca="1">C77+Results!$C$8+B112</f>
        <v>17775.829484240403</v>
      </c>
      <c r="C113" s="4">
        <f ca="1">C112+Results!$D$7</f>
        <v>7547.2</v>
      </c>
      <c r="D113" s="4">
        <f ca="1">D77+Results!E$8+D112</f>
        <v>14512.552239417855</v>
      </c>
      <c r="E113" s="4">
        <f ca="1">E77+Results!F$8+E112</f>
        <v>16539.69112202854</v>
      </c>
      <c r="F113" s="4">
        <f ca="1">F77+Results!G$8+F112</f>
        <v>18491.771084019772</v>
      </c>
      <c r="G113" s="4">
        <f ca="1">G77+Results!H$8+G112</f>
        <v>14077.169296999742</v>
      </c>
      <c r="H113" s="4">
        <f ca="1">H77+Results!I$8+H112</f>
        <v>19408.573985460942</v>
      </c>
      <c r="I113" s="4">
        <f ca="1">I77+Results!J$8+I112</f>
        <v>12954.859565173521</v>
      </c>
      <c r="J113" s="4">
        <f ca="1">J77+Results!K$8+J112</f>
        <v>12721.484882397144</v>
      </c>
      <c r="K113" s="4">
        <f ca="1">K77+Results!L$8+K112</f>
        <v>14007.11916748309</v>
      </c>
      <c r="L113" s="4">
        <f ca="1">L77+Results!M$8+L112</f>
        <v>12559.581988979633</v>
      </c>
      <c r="M113" s="4">
        <f ca="1">M77+Results!N$8+M112</f>
        <v>13682.575766943031</v>
      </c>
    </row>
    <row r="114" spans="1:13" x14ac:dyDescent="0.25">
      <c r="A114" s="50">
        <v>5</v>
      </c>
      <c r="B114" s="4">
        <f ca="1">C78+Results!$C$8+B113</f>
        <v>21219.786855300503</v>
      </c>
      <c r="C114" s="4">
        <f ca="1">C113+Results!$D$7</f>
        <v>9434</v>
      </c>
      <c r="D114" s="4">
        <f ca="1">D78+Results!E$8+D113</f>
        <v>15880.09628645014</v>
      </c>
      <c r="E114" s="4">
        <f ca="1">E78+Results!F$8+E113</f>
        <v>19674.613902535675</v>
      </c>
      <c r="F114" s="4">
        <f ca="1">F78+Results!G$8+F113</f>
        <v>22114.713855024715</v>
      </c>
      <c r="G114" s="4">
        <f ca="1">G78+Results!H$8+G113</f>
        <v>16596.461621249677</v>
      </c>
      <c r="H114" s="4">
        <f ca="1">H78+Results!I$8+H113</f>
        <v>22827.217481826177</v>
      </c>
      <c r="I114" s="4">
        <f ca="1">I78+Results!J$8+I113</f>
        <v>16193.574456466902</v>
      </c>
      <c r="J114" s="4">
        <f ca="1">J78+Results!K$8+J113</f>
        <v>14901.856102996429</v>
      </c>
      <c r="K114" s="4">
        <f ca="1">K78+Results!L$8+K113</f>
        <v>16508.898959353861</v>
      </c>
      <c r="L114" s="4">
        <f ca="1">L78+Results!M$8+L113</f>
        <v>14699.477486224541</v>
      </c>
      <c r="M114" s="4">
        <f ca="1">M78+Results!N$8+M113</f>
        <v>16103.219708678789</v>
      </c>
    </row>
    <row r="115" spans="1:13" x14ac:dyDescent="0.25">
      <c r="A115" s="50">
        <v>6</v>
      </c>
      <c r="B115" s="4">
        <f ca="1">C79+Results!$C$8+B114</f>
        <v>24663.744226360603</v>
      </c>
      <c r="C115" s="4">
        <f ca="1">C114+Results!$D$7</f>
        <v>11320.8</v>
      </c>
      <c r="D115" s="4">
        <f ca="1">D79+Results!E$8+D114</f>
        <v>17247.640333482424</v>
      </c>
      <c r="E115" s="4">
        <f ca="1">E79+Results!F$8+E114</f>
        <v>22809.53668304281</v>
      </c>
      <c r="F115" s="4">
        <f ca="1">F79+Results!G$8+F114</f>
        <v>25737.656626029657</v>
      </c>
      <c r="G115" s="4">
        <f ca="1">G79+Results!H$8+G114</f>
        <v>19115.753945499611</v>
      </c>
      <c r="H115" s="4">
        <f ca="1">H79+Results!I$8+H114</f>
        <v>26245.860978191413</v>
      </c>
      <c r="I115" s="4">
        <f ca="1">I79+Results!J$8+I114</f>
        <v>19432.289347760281</v>
      </c>
      <c r="J115" s="4">
        <f ca="1">J79+Results!K$8+J114</f>
        <v>17082.227323595715</v>
      </c>
      <c r="K115" s="4">
        <f ca="1">K79+Results!L$8+K114</f>
        <v>19010.678751224634</v>
      </c>
      <c r="L115" s="4">
        <f ca="1">L79+Results!M$8+L114</f>
        <v>16839.37298346945</v>
      </c>
      <c r="M115" s="4">
        <f ca="1">M79+Results!N$8+M114</f>
        <v>18523.863650414547</v>
      </c>
    </row>
    <row r="116" spans="1:13" x14ac:dyDescent="0.25">
      <c r="A116" s="50">
        <v>7</v>
      </c>
      <c r="B116" s="4">
        <f ca="1">C80+Results!$C$8+B115</f>
        <v>28107.701597420702</v>
      </c>
      <c r="C116" s="4">
        <f ca="1">C115+Results!$D$7</f>
        <v>13207.599999999999</v>
      </c>
      <c r="D116" s="4">
        <f ca="1">D80+Results!E$8+D115</f>
        <v>18615.184380514707</v>
      </c>
      <c r="E116" s="4">
        <f ca="1">E80+Results!F$8+E115</f>
        <v>25944.459463549945</v>
      </c>
      <c r="F116" s="4">
        <f ca="1">F80+Results!G$8+F115</f>
        <v>28271.591941789866</v>
      </c>
      <c r="G116" s="4">
        <f ca="1">G80+Results!H$8+G115</f>
        <v>21635.046269749546</v>
      </c>
      <c r="H116" s="4">
        <f ca="1">H80+Results!I$8+H115</f>
        <v>29664.504474556648</v>
      </c>
      <c r="I116" s="4">
        <f ca="1">I80+Results!J$8+I115</f>
        <v>22671.004239053662</v>
      </c>
      <c r="J116" s="4">
        <f ca="1">J80+Results!K$8+J115</f>
        <v>19262.598544195</v>
      </c>
      <c r="K116" s="4">
        <f ca="1">K80+Results!L$8+K115</f>
        <v>21512.458543095407</v>
      </c>
      <c r="L116" s="4">
        <f ca="1">L80+Results!M$8+L115</f>
        <v>18979.26848071436</v>
      </c>
      <c r="M116" s="4">
        <f ca="1">M80+Results!N$8+M115</f>
        <v>19739.458358887689</v>
      </c>
    </row>
    <row r="117" spans="1:13" x14ac:dyDescent="0.25">
      <c r="A117" s="50">
        <v>8</v>
      </c>
      <c r="B117" s="4">
        <f ca="1">C81+Results!$C$8+B116</f>
        <v>31551.658968480802</v>
      </c>
      <c r="C117" s="4">
        <f ca="1">C116+Results!$D$7</f>
        <v>15094.399999999998</v>
      </c>
      <c r="D117" s="4">
        <f ca="1">D81+Results!E$8+D116</f>
        <v>19982.72842754699</v>
      </c>
      <c r="E117" s="4">
        <f ca="1">E81+Results!F$8+E116</f>
        <v>29079.38224405708</v>
      </c>
      <c r="F117" s="4">
        <f ca="1">F81+Results!G$8+F116</f>
        <v>30805.527257550075</v>
      </c>
      <c r="G117" s="4">
        <f ca="1">G81+Results!H$8+G116</f>
        <v>24154.338593999481</v>
      </c>
      <c r="H117" s="4">
        <f ca="1">H81+Results!I$8+H116</f>
        <v>33083.147970921884</v>
      </c>
      <c r="I117" s="4">
        <f ca="1">I81+Results!J$8+I116</f>
        <v>25909.719130347043</v>
      </c>
      <c r="J117" s="4">
        <f ca="1">J81+Results!K$8+J116</f>
        <v>21442.969764794285</v>
      </c>
      <c r="K117" s="4">
        <f ca="1">K81+Results!L$8+K116</f>
        <v>24014.23833496618</v>
      </c>
      <c r="L117" s="4">
        <f ca="1">L81+Results!M$8+L116</f>
        <v>21119.163977959266</v>
      </c>
      <c r="M117" s="4">
        <f ca="1">M81+Results!N$8+M116</f>
        <v>20955.05306736083</v>
      </c>
    </row>
    <row r="118" spans="1:13" x14ac:dyDescent="0.25">
      <c r="A118" s="50">
        <v>9</v>
      </c>
      <c r="B118" s="4">
        <f ca="1">C82+Results!$C$8+B117</f>
        <v>34995.616339540902</v>
      </c>
      <c r="C118" s="4">
        <f ca="1">C117+Results!$D$7</f>
        <v>16981.199999999997</v>
      </c>
      <c r="D118" s="4">
        <f ca="1">D82+Results!E$8+D117</f>
        <v>21350.272474579273</v>
      </c>
      <c r="E118" s="4">
        <f ca="1">E82+Results!F$8+E117</f>
        <v>32214.305024564215</v>
      </c>
      <c r="F118" s="4">
        <f ca="1">F82+Results!G$8+F117</f>
        <v>33339.46257331028</v>
      </c>
      <c r="G118" s="4">
        <f ca="1">G82+Results!H$8+G117</f>
        <v>26673.630918249415</v>
      </c>
      <c r="H118" s="4">
        <f ca="1">H82+Results!I$8+H117</f>
        <v>36501.791467287119</v>
      </c>
      <c r="I118" s="4">
        <f ca="1">I82+Results!J$8+I117</f>
        <v>29148.434021640423</v>
      </c>
      <c r="J118" s="4">
        <f ca="1">J82+Results!K$8+J117</f>
        <v>23623.34098539357</v>
      </c>
      <c r="K118" s="4">
        <f ca="1">K82+Results!L$8+K117</f>
        <v>26516.018126836952</v>
      </c>
      <c r="L118" s="4">
        <f ca="1">L82+Results!M$8+L117</f>
        <v>23259.059475204172</v>
      </c>
      <c r="M118" s="4">
        <f ca="1">M82+Results!N$8+M117</f>
        <v>22170.647775833972</v>
      </c>
    </row>
    <row r="119" spans="1:13" x14ac:dyDescent="0.25">
      <c r="A119" s="50">
        <v>10</v>
      </c>
      <c r="B119" s="4">
        <f ca="1">C83+Results!$C$8+B118</f>
        <v>38439.573710601006</v>
      </c>
      <c r="C119" s="4">
        <f ca="1">C118+Results!$D$7</f>
        <v>18867.999999999996</v>
      </c>
      <c r="D119" s="4">
        <f ca="1">D83+Results!E$8+D118</f>
        <v>22717.816521611556</v>
      </c>
      <c r="E119" s="4">
        <f ca="1">E83+Results!F$8+E118</f>
        <v>34160.828062580011</v>
      </c>
      <c r="F119" s="4">
        <f ca="1">F83+Results!G$8+F118</f>
        <v>35873.397889070489</v>
      </c>
      <c r="G119" s="4">
        <f ca="1">G83+Results!H$8+G118</f>
        <v>29192.92324249935</v>
      </c>
      <c r="H119" s="4">
        <f ca="1">H83+Results!I$8+H118</f>
        <v>39920.434963652355</v>
      </c>
      <c r="I119" s="4">
        <f ca="1">I83+Results!J$8+I118</f>
        <v>32387.148912933804</v>
      </c>
      <c r="J119" s="4">
        <f ca="1">J83+Results!K$8+J118</f>
        <v>25803.712205992855</v>
      </c>
      <c r="K119" s="4">
        <f ca="1">K83+Results!L$8+K118</f>
        <v>29017.797918707725</v>
      </c>
      <c r="L119" s="4">
        <f ca="1">L83+Results!M$8+L118</f>
        <v>25398.954972449079</v>
      </c>
      <c r="M119" s="4">
        <f ca="1">M83+Results!N$8+M118</f>
        <v>23386.242484307113</v>
      </c>
    </row>
    <row r="120" spans="1:13" x14ac:dyDescent="0.25">
      <c r="A120" s="50">
        <v>11</v>
      </c>
      <c r="B120" s="4">
        <f ca="1">C84+Results!$C$8+B119</f>
        <v>41883.531081661109</v>
      </c>
      <c r="C120" s="4">
        <f ca="1">C119+Results!$D$7</f>
        <v>20754.799999999996</v>
      </c>
      <c r="D120" s="4">
        <f ca="1">D84+Results!E$8+D119</f>
        <v>24085.360568643839</v>
      </c>
      <c r="E120" s="4">
        <f ca="1">E84+Results!F$8+E119</f>
        <v>36107.351100595806</v>
      </c>
      <c r="F120" s="4">
        <f ca="1">F84+Results!G$8+F119</f>
        <v>38407.333204830698</v>
      </c>
      <c r="G120" s="4">
        <f ca="1">G84+Results!H$8+G119</f>
        <v>31712.215566749284</v>
      </c>
      <c r="H120" s="4">
        <f ca="1">H84+Results!I$8+H119</f>
        <v>43339.07846001759</v>
      </c>
      <c r="I120" s="4">
        <f ca="1">I84+Results!J$8+I119</f>
        <v>35625.863804227185</v>
      </c>
      <c r="J120" s="4">
        <f ca="1">J84+Results!K$8+J119</f>
        <v>27984.08342659214</v>
      </c>
      <c r="K120" s="4">
        <f ca="1">K84+Results!L$8+K119</f>
        <v>31519.577710578498</v>
      </c>
      <c r="L120" s="4">
        <f ca="1">L84+Results!M$8+L119</f>
        <v>27538.850469693985</v>
      </c>
      <c r="M120" s="4">
        <f ca="1">M84+Results!N$8+M119</f>
        <v>24601.837192780255</v>
      </c>
    </row>
    <row r="121" spans="1:13" x14ac:dyDescent="0.25">
      <c r="A121" s="50">
        <v>12</v>
      </c>
      <c r="B121" s="4">
        <f ca="1">C85+Results!$C$8+B120</f>
        <v>44203.531081661109</v>
      </c>
      <c r="C121" s="4">
        <f ca="1">C120+Results!$D$7</f>
        <v>22641.599999999995</v>
      </c>
      <c r="D121" s="4">
        <f ca="1">D85+Results!E$8+D120</f>
        <v>25452.904615676121</v>
      </c>
      <c r="E121" s="4">
        <f ca="1">E85+Results!F$8+E120</f>
        <v>38053.874138611602</v>
      </c>
      <c r="F121" s="4">
        <f ca="1">F85+Results!G$8+F120</f>
        <v>40941.268520590907</v>
      </c>
      <c r="G121" s="4">
        <f ca="1">G85+Results!H$8+G120</f>
        <v>34231.507890999223</v>
      </c>
      <c r="H121" s="4">
        <f ca="1">H85+Results!I$8+H120</f>
        <v>46757.721956382826</v>
      </c>
      <c r="I121" s="4">
        <f ca="1">I85+Results!J$8+I120</f>
        <v>38864.578695520562</v>
      </c>
      <c r="J121" s="4">
        <f ca="1">J85+Results!K$8+J120</f>
        <v>30164.454647191425</v>
      </c>
      <c r="K121" s="4">
        <f ca="1">K85+Results!L$8+K120</f>
        <v>34021.357502449267</v>
      </c>
      <c r="L121" s="4">
        <f ca="1">L85+Results!M$8+L120</f>
        <v>29678.745966938892</v>
      </c>
      <c r="M121" s="4">
        <f ca="1">M85+Results!N$8+M120</f>
        <v>25817.431901253396</v>
      </c>
    </row>
    <row r="122" spans="1:13" x14ac:dyDescent="0.25">
      <c r="A122" s="50">
        <v>13</v>
      </c>
      <c r="B122" s="4">
        <f ca="1">C86+Results!$C$8+B121</f>
        <v>46523.531081661109</v>
      </c>
      <c r="C122" s="4">
        <f ca="1">C121+Results!$D$7</f>
        <v>24528.399999999994</v>
      </c>
      <c r="D122" s="4">
        <f ca="1">D86+Results!E$8+D121</f>
        <v>26820.448662708404</v>
      </c>
      <c r="E122" s="4">
        <f ca="1">E86+Results!F$8+E121</f>
        <v>40000.397176627397</v>
      </c>
      <c r="F122" s="4">
        <f ca="1">F86+Results!G$8+F121</f>
        <v>43475.203836351116</v>
      </c>
      <c r="G122" s="4">
        <f ca="1">G86+Results!H$8+G121</f>
        <v>36750.800215249161</v>
      </c>
      <c r="H122" s="4">
        <f ca="1">H86+Results!I$8+H121</f>
        <v>50176.365452748061</v>
      </c>
      <c r="I122" s="4">
        <f ca="1">I86+Results!J$8+I121</f>
        <v>42103.293586813939</v>
      </c>
      <c r="J122" s="4">
        <f ca="1">J86+Results!K$8+J121</f>
        <v>31210.110708315293</v>
      </c>
      <c r="K122" s="4">
        <f ca="1">K86+Results!L$8+K121</f>
        <v>36523.13729432004</v>
      </c>
      <c r="L122" s="4">
        <f ca="1">L86+Results!M$8+L121</f>
        <v>31818.641464183798</v>
      </c>
      <c r="M122" s="4">
        <f ca="1">M86+Results!N$8+M121</f>
        <v>27033.026609726538</v>
      </c>
    </row>
    <row r="123" spans="1:13" x14ac:dyDescent="0.25">
      <c r="A123" s="50">
        <v>14</v>
      </c>
      <c r="B123" s="4">
        <f ca="1">C87+Results!$C$8+B122</f>
        <v>48843.531081661109</v>
      </c>
      <c r="C123" s="4">
        <f ca="1">C122+Results!$D$7</f>
        <v>26415.199999999993</v>
      </c>
      <c r="D123" s="4">
        <f ca="1">D87+Results!E$8+D122</f>
        <v>28187.992709740687</v>
      </c>
      <c r="E123" s="4">
        <f ca="1">E87+Results!F$8+E122</f>
        <v>41946.920214643193</v>
      </c>
      <c r="F123" s="4">
        <f ca="1">F87+Results!G$8+F122</f>
        <v>46009.139152111326</v>
      </c>
      <c r="G123" s="4">
        <f ca="1">G87+Results!H$8+G122</f>
        <v>39270.092539499099</v>
      </c>
      <c r="H123" s="4">
        <f ca="1">H87+Results!I$8+H122</f>
        <v>53595.008949113297</v>
      </c>
      <c r="I123" s="4">
        <f ca="1">I87+Results!J$8+I122</f>
        <v>45342.008478107316</v>
      </c>
      <c r="J123" s="4">
        <f ca="1">J87+Results!K$8+J122</f>
        <v>32255.76676943916</v>
      </c>
      <c r="K123" s="4">
        <f ca="1">K87+Results!L$8+K122</f>
        <v>39024.917086190813</v>
      </c>
      <c r="L123" s="4">
        <f ca="1">L87+Results!M$8+L122</f>
        <v>33958.536961428705</v>
      </c>
      <c r="M123" s="4">
        <f ca="1">M87+Results!N$8+M122</f>
        <v>28248.621318199679</v>
      </c>
    </row>
    <row r="124" spans="1:13" x14ac:dyDescent="0.25">
      <c r="A124" s="50">
        <v>15</v>
      </c>
      <c r="B124" s="4">
        <f ca="1">C88+Results!$C$8+B123</f>
        <v>51163.531081661109</v>
      </c>
      <c r="C124" s="4">
        <f ca="1">C123+Results!$D$7</f>
        <v>28301.999999999993</v>
      </c>
      <c r="D124" s="4">
        <f ca="1">D88+Results!E$8+D123</f>
        <v>29555.53675677297</v>
      </c>
      <c r="E124" s="4">
        <f ca="1">E88+Results!F$8+E123</f>
        <v>43893.443252658988</v>
      </c>
      <c r="F124" s="4">
        <f ca="1">F88+Results!G$8+F123</f>
        <v>48543.074467871535</v>
      </c>
      <c r="G124" s="4">
        <f ca="1">G88+Results!H$8+G123</f>
        <v>41789.384863749037</v>
      </c>
      <c r="H124" s="4">
        <f ca="1">H88+Results!I$8+H123</f>
        <v>57013.652445478532</v>
      </c>
      <c r="I124" s="4">
        <f ca="1">I88+Results!J$8+I123</f>
        <v>48580.723369400694</v>
      </c>
      <c r="J124" s="4">
        <f ca="1">J88+Results!K$8+J123</f>
        <v>33301.422830563031</v>
      </c>
      <c r="K124" s="4">
        <f ca="1">K88+Results!L$8+K123</f>
        <v>41526.696878061586</v>
      </c>
      <c r="L124" s="4">
        <f ca="1">L88+Results!M$8+L123</f>
        <v>36098.432458673611</v>
      </c>
      <c r="M124" s="4">
        <f ca="1">M88+Results!N$8+M123</f>
        <v>29464.216026672821</v>
      </c>
    </row>
    <row r="125" spans="1:13" x14ac:dyDescent="0.25">
      <c r="A125" s="50">
        <v>16</v>
      </c>
      <c r="B125" s="4">
        <f ca="1">C89+Results!$C$8+B124</f>
        <v>53483.531081661109</v>
      </c>
      <c r="C125" s="4">
        <f ca="1">C124+Results!$D$7</f>
        <v>30188.799999999992</v>
      </c>
      <c r="D125" s="4">
        <f ca="1">D89+Results!E$8+D124</f>
        <v>30923.080803805253</v>
      </c>
      <c r="E125" s="4">
        <f ca="1">E89+Results!F$8+E124</f>
        <v>45839.966290674784</v>
      </c>
      <c r="F125" s="4">
        <f ca="1">F89+Results!G$8+F124</f>
        <v>51077.009783631744</v>
      </c>
      <c r="G125" s="4">
        <f ca="1">G89+Results!H$8+G124</f>
        <v>44308.677187998976</v>
      </c>
      <c r="H125" s="4">
        <f ca="1">H89+Results!I$8+H124</f>
        <v>60432.295941843768</v>
      </c>
      <c r="I125" s="4">
        <f ca="1">I89+Results!J$8+I124</f>
        <v>51819.438260694071</v>
      </c>
      <c r="J125" s="4">
        <f ca="1">J89+Results!K$8+J124</f>
        <v>34347.078891686899</v>
      </c>
      <c r="K125" s="4">
        <f ca="1">K89+Results!L$8+K124</f>
        <v>44028.476669932359</v>
      </c>
      <c r="L125" s="4">
        <f ca="1">L89+Results!M$8+L124</f>
        <v>38238.327955918518</v>
      </c>
      <c r="M125" s="4">
        <f ca="1">M89+Results!N$8+M124</f>
        <v>30679.810735145962</v>
      </c>
    </row>
    <row r="126" spans="1:13" x14ac:dyDescent="0.25">
      <c r="A126" s="50">
        <v>17</v>
      </c>
      <c r="B126" s="4">
        <f ca="1">C90+Results!$C$8+B125</f>
        <v>55803.531081661109</v>
      </c>
      <c r="C126" s="4">
        <f ca="1">C125+Results!$D$7</f>
        <v>32075.599999999991</v>
      </c>
      <c r="D126" s="4">
        <f ca="1">D90+Results!E$8+D125</f>
        <v>32290.624850837536</v>
      </c>
      <c r="E126" s="4">
        <f ca="1">E90+Results!F$8+E125</f>
        <v>47786.489328690579</v>
      </c>
      <c r="F126" s="4">
        <f ca="1">F90+Results!G$8+F125</f>
        <v>53610.945099391953</v>
      </c>
      <c r="G126" s="4">
        <f ca="1">G90+Results!H$8+G125</f>
        <v>45609.05992912918</v>
      </c>
      <c r="H126" s="4">
        <f ca="1">H90+Results!I$8+H125</f>
        <v>63850.939438209003</v>
      </c>
      <c r="I126" s="4">
        <f ca="1">I90+Results!J$8+I125</f>
        <v>55058.153151987448</v>
      </c>
      <c r="J126" s="4">
        <f ca="1">J90+Results!K$8+J125</f>
        <v>35392.734952810766</v>
      </c>
      <c r="K126" s="4">
        <f ca="1">K90+Results!L$8+K125</f>
        <v>46530.256461803132</v>
      </c>
      <c r="L126" s="4">
        <f ca="1">L90+Results!M$8+L125</f>
        <v>39199.82143927124</v>
      </c>
      <c r="M126" s="4">
        <f ca="1">M90+Results!N$8+M125</f>
        <v>31895.405443619104</v>
      </c>
    </row>
    <row r="127" spans="1:13" x14ac:dyDescent="0.25">
      <c r="A127" s="50">
        <v>18</v>
      </c>
      <c r="B127" s="4">
        <f ca="1">C91+Results!$C$8+B126</f>
        <v>58123.531081661109</v>
      </c>
      <c r="C127" s="4">
        <f ca="1">C126+Results!$D$7</f>
        <v>33962.399999999994</v>
      </c>
      <c r="D127" s="4">
        <f ca="1">D91+Results!E$8+D126</f>
        <v>33658.168897869822</v>
      </c>
      <c r="E127" s="4">
        <f ca="1">E91+Results!F$8+E126</f>
        <v>49733.012366706374</v>
      </c>
      <c r="F127" s="4">
        <f ca="1">F91+Results!G$8+F126</f>
        <v>56144.880415152162</v>
      </c>
      <c r="G127" s="4">
        <f ca="1">G91+Results!H$8+G126</f>
        <v>46909.442670259385</v>
      </c>
      <c r="H127" s="4">
        <f ca="1">H91+Results!I$8+H126</f>
        <v>67269.582934574239</v>
      </c>
      <c r="I127" s="4">
        <f ca="1">I91+Results!J$8+I126</f>
        <v>58296.868043280825</v>
      </c>
      <c r="J127" s="4">
        <f ca="1">J91+Results!K$8+J126</f>
        <v>36438.391013934634</v>
      </c>
      <c r="K127" s="4">
        <f ca="1">K91+Results!L$8+K126</f>
        <v>49032.036253673905</v>
      </c>
      <c r="L127" s="4">
        <f ca="1">L91+Results!M$8+L126</f>
        <v>40161.314922623962</v>
      </c>
      <c r="M127" s="4">
        <f ca="1">M91+Results!N$8+M126</f>
        <v>33111.000152092245</v>
      </c>
    </row>
    <row r="128" spans="1:13" x14ac:dyDescent="0.25">
      <c r="A128" s="50">
        <v>19</v>
      </c>
      <c r="B128" s="4">
        <f ca="1">C92+Results!$C$8+B127</f>
        <v>60443.531081661109</v>
      </c>
      <c r="C128" s="4">
        <f ca="1">C127+Results!$D$7</f>
        <v>35849.199999999997</v>
      </c>
      <c r="D128" s="4">
        <f ca="1">D92+Results!E$8+D127</f>
        <v>35025.712944902109</v>
      </c>
      <c r="E128" s="4">
        <f ca="1">E92+Results!F$8+E127</f>
        <v>51679.53540472217</v>
      </c>
      <c r="F128" s="4">
        <f ca="1">F92+Results!G$8+F127</f>
        <v>58678.815730912371</v>
      </c>
      <c r="G128" s="4">
        <f ca="1">G92+Results!H$8+G127</f>
        <v>48209.825411389589</v>
      </c>
      <c r="H128" s="4">
        <f ca="1">H92+Results!I$8+H127</f>
        <v>70688.226430939467</v>
      </c>
      <c r="I128" s="4">
        <f ca="1">I92+Results!J$8+I127</f>
        <v>61535.582934574202</v>
      </c>
      <c r="J128" s="4">
        <f ca="1">J92+Results!K$8+J127</f>
        <v>37484.047075058501</v>
      </c>
      <c r="K128" s="4">
        <f ca="1">K92+Results!L$8+K127</f>
        <v>51533.816045544678</v>
      </c>
      <c r="L128" s="4">
        <f ca="1">L92+Results!M$8+L127</f>
        <v>41122.808405976684</v>
      </c>
      <c r="M128" s="4">
        <f ca="1">M92+Results!N$8+M127</f>
        <v>34326.594860565383</v>
      </c>
    </row>
    <row r="129" spans="1:13" x14ac:dyDescent="0.25">
      <c r="A129" s="50">
        <v>20</v>
      </c>
      <c r="B129" s="4">
        <f ca="1">C93+Results!$C$8+B128</f>
        <v>62763.531081661109</v>
      </c>
      <c r="C129" s="4">
        <f ca="1">C128+Results!$D$7</f>
        <v>37736</v>
      </c>
      <c r="D129" s="4">
        <f ca="1">D93+Results!E$8+D128</f>
        <v>36393.256991934395</v>
      </c>
      <c r="E129" s="4">
        <f ca="1">E93+Results!F$8+E128</f>
        <v>53626.058442737965</v>
      </c>
      <c r="F129" s="4">
        <f ca="1">F93+Results!G$8+F128</f>
        <v>61212.75104667258</v>
      </c>
      <c r="G129" s="4">
        <f ca="1">G93+Results!H$8+G128</f>
        <v>49510.208152519794</v>
      </c>
      <c r="H129" s="4">
        <f ca="1">H93+Results!I$8+H128</f>
        <v>74106.869927304695</v>
      </c>
      <c r="I129" s="4">
        <f ca="1">I93+Results!J$8+I128</f>
        <v>64774.297825867579</v>
      </c>
      <c r="J129" s="4">
        <f ca="1">J93+Results!K$8+J128</f>
        <v>38529.703136182368</v>
      </c>
      <c r="K129" s="4">
        <f ca="1">K93+Results!L$8+K128</f>
        <v>54035.595837415451</v>
      </c>
      <c r="L129" s="4">
        <f ca="1">L93+Results!M$8+L128</f>
        <v>42084.301889329407</v>
      </c>
      <c r="M129" s="4">
        <f ca="1">M93+Results!N$8+M128</f>
        <v>35542.189569038521</v>
      </c>
    </row>
    <row r="133" spans="1:13" x14ac:dyDescent="0.25">
      <c r="A133" s="15"/>
      <c r="B133" s="15"/>
      <c r="C133" s="15"/>
    </row>
    <row r="134" spans="1:13" x14ac:dyDescent="0.25">
      <c r="A134" s="15"/>
      <c r="B134" s="15"/>
      <c r="C134" s="15"/>
    </row>
    <row r="135" spans="1:13" x14ac:dyDescent="0.25">
      <c r="A135" s="15"/>
      <c r="B135" s="15"/>
      <c r="C135" s="15"/>
    </row>
    <row r="136" spans="1:13" x14ac:dyDescent="0.25">
      <c r="A136" s="15"/>
      <c r="B136" s="15"/>
      <c r="C136" s="15"/>
    </row>
    <row r="137" spans="1:13" x14ac:dyDescent="0.25">
      <c r="A137" s="15"/>
      <c r="B137" s="15"/>
      <c r="C137" s="15"/>
    </row>
    <row r="138" spans="1:13" x14ac:dyDescent="0.25">
      <c r="A138" s="15"/>
      <c r="B138" s="15"/>
      <c r="C138" s="15"/>
    </row>
    <row r="139" spans="1:13" x14ac:dyDescent="0.25">
      <c r="A139" s="15"/>
      <c r="B139" s="15"/>
      <c r="C139" s="15"/>
    </row>
    <row r="140" spans="1:13" x14ac:dyDescent="0.25">
      <c r="A140" s="15"/>
      <c r="B140" s="15"/>
      <c r="C140" s="15"/>
    </row>
  </sheetData>
  <sheetProtection sheet="1" objects="1" scenarios="1"/>
  <mergeCells count="2">
    <mergeCell ref="C55:C56"/>
    <mergeCell ref="D55:M55"/>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README</vt:lpstr>
      <vt:lpstr>Explanatory notes</vt:lpstr>
      <vt:lpstr>Boundary conditions</vt:lpstr>
      <vt:lpstr>Heating system</vt:lpstr>
      <vt:lpstr>DH system</vt:lpstr>
      <vt:lpstr>Reference systems</vt:lpstr>
      <vt:lpstr>Results</vt:lpstr>
      <vt:lpstr>HelpSheet</vt:lpstr>
      <vt:lpstr>Results!Druckbereich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carles ribas tugores</dc:creator>
  <cp:lastModifiedBy>Christian Ramerstorfer</cp:lastModifiedBy>
  <cp:lastPrinted>2021-01-26T14:12:21Z</cp:lastPrinted>
  <dcterms:created xsi:type="dcterms:W3CDTF">2020-04-08T06:24:14Z</dcterms:created>
  <dcterms:modified xsi:type="dcterms:W3CDTF">2021-01-26T15:40:00Z</dcterms:modified>
</cp:coreProperties>
</file>